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12" documentId="8_{A33D9A9A-1FB5-4FBA-A333-AE98D78A0467}" xr6:coauthVersionLast="47" xr6:coauthVersionMax="47" xr10:uidLastSave="{EDF94D2D-1E30-4788-AB94-C9FBCDBA9E2A}"/>
  <bookViews>
    <workbookView xWindow="28680" yWindow="-120" windowWidth="51840" windowHeight="211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8" state="hidden" r:id="rId38"/>
    <sheet name="calc_data" sheetId="93" state="hidden" r:id="rId39"/>
    <sheet name="delinquency" sheetId="94" state="hidden" r:id="rId40"/>
    <sheet name="default" sheetId="95" state="hidden" r:id="rId41"/>
    <sheet name="portfolio" sheetId="96" state="hidden" r:id="rId42"/>
    <sheet name="rating" sheetId="99" state="hidden" r:id="rId43"/>
  </sheets>
  <externalReferences>
    <externalReference r:id="rId44"/>
  </externalReferences>
  <definedNames>
    <definedName name="Assets_Daten">Daten!$B:$E</definedName>
    <definedName name="calc_data">calc_data!$A$1:$E$235</definedName>
    <definedName name="calcdata">calc_data!$B:$E</definedName>
    <definedName name="Counterparties">'21. Counterparties'!$B$2</definedName>
    <definedName name="daten">Daten!$A$1:$D$341</definedName>
    <definedName name="default">default!$A$1:$K$81</definedName>
    <definedName name="defaults" localSheetId="41">[1]default!$B:$K</definedName>
    <definedName name="defaults">default!$B:$K</definedName>
    <definedName name="delinquencies" localSheetId="40">[1]delinquency!$B:$K</definedName>
    <definedName name="delinquencies" localSheetId="41">[1]delinquency!$B:$K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Costs'!$A$1:$T$71</definedName>
    <definedName name="_xlnm.Print_Area" localSheetId="4">'2. Reserve Accounts'!$A$1:$K$46</definedName>
    <definedName name="_xlnm.Print_Area" localSheetId="31">'20. Retention'!$A$1:$K$24</definedName>
    <definedName name="_xlnm.Print_Area" localSheetId="32">'21. Counterparties'!$A$1:$P$77</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Data'!$A$1:$M$76</definedName>
    <definedName name="_xlnm.Print_Area" localSheetId="7">'3.3 Defaults &amp; Recoveries p.p.'!$A$1:$M$101</definedName>
    <definedName name="_xlnm.Print_Area" localSheetId="8">'4. Concentration Limits'!$A$1:$M$63</definedName>
    <definedName name="_xlnm.Print_Area" localSheetId="9">'5. Outstanding Notes'!$A$1:$R$55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portfolio!$A$1:$G$28</definedName>
    <definedName name="portfolio_p.p">portfolio!$B:$G</definedName>
    <definedName name="rating">rating!$A$1:$S$19</definedName>
    <definedName name="ratings">rating!$B:$S</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2" l="1"/>
  <c r="E2" i="82"/>
  <c r="B2" i="82"/>
  <c r="B36" i="72"/>
  <c r="L32" i="72"/>
  <c r="K32" i="72"/>
  <c r="J32" i="72"/>
  <c r="I32" i="72"/>
  <c r="H32" i="72"/>
  <c r="G32" i="72"/>
  <c r="F32" i="72"/>
  <c r="E32" i="72"/>
  <c r="D32" i="72"/>
  <c r="L30" i="72"/>
  <c r="K30" i="72"/>
  <c r="J30" i="72"/>
  <c r="I30" i="72"/>
  <c r="H30" i="72"/>
  <c r="G30" i="72"/>
  <c r="F30" i="72"/>
  <c r="E30" i="72"/>
  <c r="D30" i="72"/>
  <c r="L28" i="72"/>
  <c r="K28" i="72"/>
  <c r="J28" i="72"/>
  <c r="I28" i="72"/>
  <c r="H28" i="72"/>
  <c r="G28" i="72"/>
  <c r="F28" i="72"/>
  <c r="E28" i="72"/>
  <c r="D28" i="72"/>
  <c r="B3" i="72"/>
  <c r="E2" i="72"/>
  <c r="B2" i="72"/>
  <c r="B41" i="89"/>
  <c r="C33" i="89"/>
  <c r="C32" i="89"/>
  <c r="C31" i="89"/>
  <c r="C30" i="89"/>
  <c r="O29" i="89"/>
  <c r="C29" i="89"/>
  <c r="O28" i="89"/>
  <c r="K24" i="89"/>
  <c r="J24" i="89"/>
  <c r="I24" i="89"/>
  <c r="H24" i="89"/>
  <c r="G24" i="89"/>
  <c r="F24" i="89"/>
  <c r="E24" i="89"/>
  <c r="D24" i="89"/>
  <c r="D7" i="89"/>
  <c r="D6" i="89"/>
  <c r="D5" i="89"/>
  <c r="D4" i="89"/>
  <c r="D3" i="89"/>
  <c r="B3" i="89"/>
  <c r="D2" i="89"/>
  <c r="B2" i="89"/>
  <c r="D7" i="79"/>
  <c r="D6" i="79"/>
  <c r="D5" i="79"/>
  <c r="D4" i="79"/>
  <c r="D3" i="79"/>
  <c r="B3" i="79"/>
  <c r="D2" i="79"/>
  <c r="B2" i="79"/>
  <c r="B77" i="78"/>
  <c r="L61" i="78"/>
  <c r="K61" i="78"/>
  <c r="J61" i="78"/>
  <c r="I61" i="78"/>
  <c r="H61" i="78"/>
  <c r="G61" i="78"/>
  <c r="F61" i="78"/>
  <c r="E61" i="78"/>
  <c r="D61" i="78"/>
  <c r="L54" i="78"/>
  <c r="K54" i="78"/>
  <c r="J54" i="78"/>
  <c r="I54" i="78"/>
  <c r="H54" i="78"/>
  <c r="G54" i="78"/>
  <c r="F54" i="78"/>
  <c r="E54" i="78"/>
  <c r="D54" i="78"/>
  <c r="L48" i="78"/>
  <c r="K48" i="78"/>
  <c r="J48" i="78"/>
  <c r="I48" i="78"/>
  <c r="H48" i="78"/>
  <c r="G48" i="78"/>
  <c r="F48" i="78"/>
  <c r="E48" i="78"/>
  <c r="D48" i="78"/>
  <c r="L42" i="78"/>
  <c r="K42" i="78"/>
  <c r="J42" i="78"/>
  <c r="I42" i="78"/>
  <c r="H42" i="78"/>
  <c r="G42" i="78"/>
  <c r="F42" i="78"/>
  <c r="E42" i="78"/>
  <c r="D42" i="78"/>
  <c r="L37" i="78"/>
  <c r="K37" i="78"/>
  <c r="J37" i="78"/>
  <c r="I37" i="78"/>
  <c r="H37" i="78"/>
  <c r="G37" i="78"/>
  <c r="F37" i="78"/>
  <c r="E37" i="78"/>
  <c r="D37" i="78"/>
  <c r="L31" i="78"/>
  <c r="K31" i="78"/>
  <c r="J31" i="78"/>
  <c r="I31" i="78"/>
  <c r="H31" i="78"/>
  <c r="G31" i="78"/>
  <c r="F31" i="78"/>
  <c r="E31" i="78"/>
  <c r="D31" i="78"/>
  <c r="L26" i="78"/>
  <c r="K26" i="78"/>
  <c r="J26" i="78"/>
  <c r="I26" i="78"/>
  <c r="H26" i="78"/>
  <c r="G26" i="78"/>
  <c r="F26" i="78"/>
  <c r="E26" i="78"/>
  <c r="D26" i="78"/>
  <c r="L21" i="78"/>
  <c r="K21" i="78"/>
  <c r="J21" i="78"/>
  <c r="I21" i="78"/>
  <c r="H21" i="78"/>
  <c r="G21" i="78"/>
  <c r="F21" i="78"/>
  <c r="E21" i="78"/>
  <c r="D21" i="78"/>
  <c r="L15" i="78"/>
  <c r="K15" i="78"/>
  <c r="J15"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Q69" i="83"/>
  <c r="D69" i="83" s="1"/>
  <c r="Q68" i="83"/>
  <c r="O68" i="83"/>
  <c r="M68" i="83"/>
  <c r="K68" i="83"/>
  <c r="I68" i="83"/>
  <c r="G68" i="83"/>
  <c r="E68" i="83"/>
  <c r="Q67" i="83"/>
  <c r="O67" i="83"/>
  <c r="M67" i="83"/>
  <c r="K67" i="83"/>
  <c r="I67" i="83"/>
  <c r="G67" i="83"/>
  <c r="E67" i="83"/>
  <c r="D67" i="83" s="1"/>
  <c r="Q66" i="83"/>
  <c r="O66" i="83"/>
  <c r="M66" i="83"/>
  <c r="K66" i="83"/>
  <c r="I66" i="83"/>
  <c r="G66" i="83"/>
  <c r="E66" i="83"/>
  <c r="D66" i="83" s="1"/>
  <c r="Q65" i="83"/>
  <c r="O65" i="83"/>
  <c r="M65" i="83"/>
  <c r="K65" i="83"/>
  <c r="I65" i="83"/>
  <c r="G65" i="83"/>
  <c r="E65" i="83"/>
  <c r="Q64" i="83"/>
  <c r="O64" i="83"/>
  <c r="M64" i="83"/>
  <c r="K64" i="83"/>
  <c r="I64" i="83"/>
  <c r="G64" i="83"/>
  <c r="E64" i="83"/>
  <c r="Q63" i="83"/>
  <c r="O63" i="83"/>
  <c r="M63" i="83"/>
  <c r="K63" i="83"/>
  <c r="I63" i="83"/>
  <c r="G63" i="83"/>
  <c r="E63" i="83"/>
  <c r="D63" i="83" s="1"/>
  <c r="D62" i="83"/>
  <c r="E54"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M31" i="83"/>
  <c r="E31" i="83"/>
  <c r="E25"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0" i="69"/>
  <c r="F20" i="69" s="1"/>
  <c r="D20" i="69"/>
  <c r="H19" i="69"/>
  <c r="F19" i="69" s="1"/>
  <c r="D19" i="69"/>
  <c r="H18" i="69"/>
  <c r="F18" i="69" s="1"/>
  <c r="D18" i="69"/>
  <c r="H17" i="69"/>
  <c r="F17" i="69" s="1"/>
  <c r="D17" i="69"/>
  <c r="H16" i="69"/>
  <c r="F16" i="69" s="1"/>
  <c r="D16" i="69"/>
  <c r="H15" i="69"/>
  <c r="F15" i="69" s="1"/>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G30" i="50" s="1"/>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G29" i="49" s="1"/>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3" i="46"/>
  <c r="H21" i="46" s="1"/>
  <c r="G22" i="46"/>
  <c r="E22" i="46"/>
  <c r="G21" i="46"/>
  <c r="F21" i="46"/>
  <c r="F23" i="46" s="1"/>
  <c r="E21" i="46"/>
  <c r="E23" i="46" s="1"/>
  <c r="F22" i="46" s="1"/>
  <c r="G16" i="46"/>
  <c r="H14" i="46" s="1"/>
  <c r="F16" i="46"/>
  <c r="H15" i="46"/>
  <c r="G15" i="46"/>
  <c r="F15" i="46"/>
  <c r="E15" i="46"/>
  <c r="G14" i="46"/>
  <c r="F14" i="46"/>
  <c r="E14" i="46"/>
  <c r="E16" i="46" s="1"/>
  <c r="G7" i="46"/>
  <c r="E7" i="46"/>
  <c r="D7" i="46"/>
  <c r="I6" i="46"/>
  <c r="G6" i="46"/>
  <c r="E6" i="46"/>
  <c r="D6" i="46"/>
  <c r="D5" i="46"/>
  <c r="D4" i="46"/>
  <c r="D3" i="46"/>
  <c r="B3" i="46"/>
  <c r="D2" i="46"/>
  <c r="B2" i="46"/>
  <c r="G16" i="44"/>
  <c r="H15" i="44" s="1"/>
  <c r="G15" i="44"/>
  <c r="E15" i="44"/>
  <c r="G14" i="44"/>
  <c r="E14" i="44"/>
  <c r="G7" i="44"/>
  <c r="E7" i="44"/>
  <c r="D7" i="44"/>
  <c r="I6" i="44"/>
  <c r="G6" i="44"/>
  <c r="E6" i="44"/>
  <c r="D6" i="44"/>
  <c r="D5" i="44"/>
  <c r="D4" i="44"/>
  <c r="D3" i="44"/>
  <c r="B3" i="44"/>
  <c r="D2" i="44"/>
  <c r="B2" i="44"/>
  <c r="E16" i="43"/>
  <c r="F14" i="43" s="1"/>
  <c r="G15" i="43"/>
  <c r="E15" i="43"/>
  <c r="G14" i="43"/>
  <c r="E14" i="43"/>
  <c r="G7" i="43"/>
  <c r="E7" i="43"/>
  <c r="D7" i="43"/>
  <c r="I6" i="43"/>
  <c r="G6" i="43"/>
  <c r="E6" i="43"/>
  <c r="D6"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E6" i="42"/>
  <c r="D6" i="42"/>
  <c r="D5" i="42"/>
  <c r="D4" i="42"/>
  <c r="D3" i="42"/>
  <c r="B3" i="42"/>
  <c r="D2" i="42"/>
  <c r="B2" i="42"/>
  <c r="E15" i="41"/>
  <c r="F15" i="41" s="1"/>
  <c r="H14" i="41"/>
  <c r="G14" i="41"/>
  <c r="F14" i="41"/>
  <c r="G7" i="41"/>
  <c r="E7" i="41"/>
  <c r="D7" i="41"/>
  <c r="I6" i="41"/>
  <c r="G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E6" i="37"/>
  <c r="D6" i="37"/>
  <c r="D5" i="37"/>
  <c r="D4" i="37"/>
  <c r="D3" i="37"/>
  <c r="B3" i="37"/>
  <c r="D2" i="37"/>
  <c r="B2" i="37"/>
  <c r="N46" i="84"/>
  <c r="N47" i="84" s="1"/>
  <c r="L46" i="84"/>
  <c r="J46" i="84"/>
  <c r="J47" i="84" s="1"/>
  <c r="H46" i="84"/>
  <c r="H47" i="84" s="1"/>
  <c r="F46" i="84"/>
  <c r="F47" i="84" s="1"/>
  <c r="D46" i="84"/>
  <c r="N45" i="84"/>
  <c r="L45" i="84"/>
  <c r="J45" i="84"/>
  <c r="H45" i="84"/>
  <c r="F45" i="84"/>
  <c r="D45" i="84"/>
  <c r="H41" i="84"/>
  <c r="C40" i="84"/>
  <c r="C38" i="84"/>
  <c r="H33" i="84"/>
  <c r="H35" i="84" s="1"/>
  <c r="F33" i="84"/>
  <c r="F35" i="84" s="1"/>
  <c r="H32" i="84"/>
  <c r="H43" i="84" s="1"/>
  <c r="H44" i="84" s="1"/>
  <c r="N31" i="84"/>
  <c r="L31" i="84"/>
  <c r="J31" i="84"/>
  <c r="J32" i="84" s="1"/>
  <c r="J43" i="84" s="1"/>
  <c r="H31" i="84"/>
  <c r="F31" i="84"/>
  <c r="F32" i="84" s="1"/>
  <c r="F43" i="84" s="1"/>
  <c r="D31" i="84"/>
  <c r="D32" i="84" s="1"/>
  <c r="D43" i="84" s="1"/>
  <c r="C30" i="84"/>
  <c r="C29" i="84"/>
  <c r="N27" i="84"/>
  <c r="N33" i="84" s="1"/>
  <c r="L27" i="84"/>
  <c r="J27" i="84"/>
  <c r="H27" i="84"/>
  <c r="F27" i="84"/>
  <c r="D27" i="84"/>
  <c r="C27" i="84"/>
  <c r="J24" i="84"/>
  <c r="F24" i="84"/>
  <c r="D24" i="84"/>
  <c r="D47" i="84" s="1"/>
  <c r="N23" i="84"/>
  <c r="N24" i="84" s="1"/>
  <c r="N42" i="84" s="1"/>
  <c r="L23" i="84"/>
  <c r="L24" i="84" s="1"/>
  <c r="L32" i="84" s="1"/>
  <c r="L43" i="84" s="1"/>
  <c r="J23" i="84"/>
  <c r="H23" i="84"/>
  <c r="H24" i="84" s="1"/>
  <c r="F23" i="84"/>
  <c r="C22" i="84"/>
  <c r="N21" i="84"/>
  <c r="L21" i="84"/>
  <c r="J21" i="84"/>
  <c r="H21" i="84"/>
  <c r="F21" i="84"/>
  <c r="D21" i="84"/>
  <c r="G7" i="84"/>
  <c r="I6" i="84"/>
  <c r="G6" i="84"/>
  <c r="B3" i="84"/>
  <c r="B2" i="84"/>
  <c r="G7" i="85"/>
  <c r="D7" i="85"/>
  <c r="I6" i="85"/>
  <c r="G6" i="85"/>
  <c r="D6" i="85"/>
  <c r="D5" i="85"/>
  <c r="D4" i="85"/>
  <c r="D3" i="85"/>
  <c r="B3" i="85"/>
  <c r="D2" i="85"/>
  <c r="B2" i="85"/>
  <c r="G30" i="91"/>
  <c r="G29" i="91"/>
  <c r="F29" i="91"/>
  <c r="K28" i="91"/>
  <c r="J28" i="91"/>
  <c r="I28" i="91"/>
  <c r="H28" i="91"/>
  <c r="G28" i="91"/>
  <c r="F28" i="91"/>
  <c r="K27" i="91"/>
  <c r="J27" i="91"/>
  <c r="I27" i="91"/>
  <c r="H27" i="91"/>
  <c r="G27" i="91"/>
  <c r="F27" i="91"/>
  <c r="K26" i="91"/>
  <c r="J26" i="91"/>
  <c r="I26" i="91"/>
  <c r="H26" i="91"/>
  <c r="G26" i="91"/>
  <c r="F26" i="91"/>
  <c r="K25" i="91"/>
  <c r="J25" i="91"/>
  <c r="I25" i="91"/>
  <c r="H25" i="91"/>
  <c r="G25" i="91"/>
  <c r="F25" i="91"/>
  <c r="K24" i="91"/>
  <c r="J24" i="91"/>
  <c r="I24" i="91"/>
  <c r="H24" i="91"/>
  <c r="G24" i="91"/>
  <c r="F24" i="91"/>
  <c r="K23" i="91"/>
  <c r="J23" i="91"/>
  <c r="I23" i="91"/>
  <c r="H23" i="91"/>
  <c r="G23" i="91"/>
  <c r="F23" i="91"/>
  <c r="K22" i="91"/>
  <c r="J22" i="91"/>
  <c r="I22" i="91"/>
  <c r="H22" i="91"/>
  <c r="G22" i="91"/>
  <c r="F22" i="91"/>
  <c r="K21" i="91"/>
  <c r="J21" i="91"/>
  <c r="I21" i="91"/>
  <c r="H21" i="91"/>
  <c r="G21" i="91"/>
  <c r="F21" i="91"/>
  <c r="G7" i="91"/>
  <c r="E7" i="91"/>
  <c r="D7" i="91"/>
  <c r="I6" i="91"/>
  <c r="G6" i="91"/>
  <c r="E6" i="91"/>
  <c r="D6" i="91"/>
  <c r="D5" i="91"/>
  <c r="D4" i="91"/>
  <c r="D3" i="91"/>
  <c r="B3" i="91"/>
  <c r="D2" i="91"/>
  <c r="B2" i="91"/>
  <c r="F74" i="87"/>
  <c r="F73" i="87"/>
  <c r="F72" i="87"/>
  <c r="F71" i="87"/>
  <c r="F68" i="87"/>
  <c r="F40" i="85" s="1"/>
  <c r="F67" i="87"/>
  <c r="F66" i="87"/>
  <c r="F65" i="87"/>
  <c r="F62" i="87"/>
  <c r="F61" i="87"/>
  <c r="F60" i="87"/>
  <c r="F59" i="87"/>
  <c r="F56" i="87"/>
  <c r="F55" i="87"/>
  <c r="F54" i="87"/>
  <c r="F53" i="87"/>
  <c r="F50" i="87"/>
  <c r="F49" i="87"/>
  <c r="F48" i="87"/>
  <c r="F47" i="87"/>
  <c r="F44" i="87"/>
  <c r="F43" i="87"/>
  <c r="F42" i="87"/>
  <c r="F41" i="87"/>
  <c r="F38" i="87"/>
  <c r="F37" i="87"/>
  <c r="F36" i="87"/>
  <c r="F35" i="87"/>
  <c r="F27" i="87"/>
  <c r="F26" i="87"/>
  <c r="F28" i="87" s="1"/>
  <c r="H23" i="87"/>
  <c r="F21" i="87"/>
  <c r="F22" i="87" s="1"/>
  <c r="F20" i="87"/>
  <c r="G7" i="87"/>
  <c r="F7" i="87"/>
  <c r="E7" i="87"/>
  <c r="D7" i="87"/>
  <c r="I6" i="87"/>
  <c r="G6" i="87"/>
  <c r="F6" i="87"/>
  <c r="E6" i="87"/>
  <c r="D6" i="87"/>
  <c r="D5" i="87"/>
  <c r="D4" i="87"/>
  <c r="D3" i="87"/>
  <c r="B3" i="87"/>
  <c r="D2" i="87"/>
  <c r="B2" i="87"/>
  <c r="G7" i="86"/>
  <c r="F7" i="86"/>
  <c r="E7" i="86"/>
  <c r="D7" i="86"/>
  <c r="I6" i="86"/>
  <c r="G6" i="86"/>
  <c r="F6" i="86"/>
  <c r="E6" i="86"/>
  <c r="D6" i="86"/>
  <c r="D5" i="86"/>
  <c r="D4" i="86"/>
  <c r="D3" i="86"/>
  <c r="B3" i="86"/>
  <c r="D2" i="86"/>
  <c r="B2" i="86"/>
  <c r="D43" i="57"/>
  <c r="D42" i="57"/>
  <c r="D41" i="57"/>
  <c r="D38" i="57"/>
  <c r="D37" i="57"/>
  <c r="C37" i="57"/>
  <c r="F36" i="57"/>
  <c r="D34" i="57"/>
  <c r="D33" i="57"/>
  <c r="D32" i="57"/>
  <c r="D29" i="57"/>
  <c r="D28" i="57"/>
  <c r="F27" i="57"/>
  <c r="D25" i="57"/>
  <c r="D24" i="57"/>
  <c r="D23" i="57"/>
  <c r="D22" i="57"/>
  <c r="D21" i="57"/>
  <c r="D20" i="57"/>
  <c r="D19" i="57"/>
  <c r="C19" i="57"/>
  <c r="G7" i="57"/>
  <c r="F7" i="57"/>
  <c r="E7" i="57"/>
  <c r="D7" i="57"/>
  <c r="I6" i="57"/>
  <c r="G6" i="57"/>
  <c r="F6" i="57"/>
  <c r="E6" i="57"/>
  <c r="D6" i="57"/>
  <c r="D5" i="57"/>
  <c r="D4" i="57"/>
  <c r="D3" i="57"/>
  <c r="B3" i="57"/>
  <c r="F2" i="57"/>
  <c r="D2" i="57"/>
  <c r="B2" i="57"/>
  <c r="G7" i="92"/>
  <c r="F7" i="92"/>
  <c r="I6" i="92"/>
  <c r="G6" i="92"/>
  <c r="F6" i="92"/>
  <c r="B3" i="92"/>
  <c r="B2" i="92"/>
  <c r="J32" i="70"/>
  <c r="F32" i="70"/>
  <c r="C32" i="70"/>
  <c r="J30" i="70"/>
  <c r="F30" i="70"/>
  <c r="J28" i="70"/>
  <c r="F28" i="70"/>
  <c r="J26" i="70"/>
  <c r="F26" i="70"/>
  <c r="J24" i="70"/>
  <c r="F24" i="70"/>
  <c r="J22" i="70"/>
  <c r="F22" i="70"/>
  <c r="J20" i="70"/>
  <c r="F20" i="70"/>
  <c r="J15" i="70"/>
  <c r="F15" i="70"/>
  <c r="C15" i="70"/>
  <c r="G7" i="70"/>
  <c r="I6" i="70"/>
  <c r="G6" i="70"/>
  <c r="B3" i="70"/>
  <c r="F2" i="70"/>
  <c r="B2" i="70"/>
  <c r="H7" i="56"/>
  <c r="H7" i="57" s="1"/>
  <c r="F7" i="56"/>
  <c r="F6" i="56"/>
  <c r="F5" i="56"/>
  <c r="F5" i="70" s="1"/>
  <c r="F4" i="56"/>
  <c r="F3" i="56"/>
  <c r="F2" i="56"/>
  <c r="F3" i="79" l="1"/>
  <c r="F3" i="65"/>
  <c r="F3" i="50"/>
  <c r="F3" i="71"/>
  <c r="G3" i="78"/>
  <c r="F3" i="67"/>
  <c r="H3" i="82"/>
  <c r="F3" i="89"/>
  <c r="F3" i="48"/>
  <c r="F3" i="40"/>
  <c r="F3" i="85"/>
  <c r="F3" i="69"/>
  <c r="F3" i="66"/>
  <c r="F3" i="63"/>
  <c r="F3" i="37"/>
  <c r="F3" i="83"/>
  <c r="F3" i="44"/>
  <c r="F3" i="49"/>
  <c r="F3" i="46"/>
  <c r="F3" i="90"/>
  <c r="F3" i="43"/>
  <c r="F3" i="47"/>
  <c r="F3" i="64"/>
  <c r="F3" i="41"/>
  <c r="F3" i="42"/>
  <c r="F3" i="62"/>
  <c r="F3" i="84"/>
  <c r="F3" i="61"/>
  <c r="F3" i="87"/>
  <c r="F3" i="91"/>
  <c r="H3" i="72"/>
  <c r="F3" i="57"/>
  <c r="H6" i="56"/>
  <c r="F3" i="86"/>
  <c r="F3" i="70"/>
  <c r="F3" i="92"/>
  <c r="F4" i="71"/>
  <c r="F4" i="49"/>
  <c r="G4" i="78"/>
  <c r="F4" i="89"/>
  <c r="H4" i="82"/>
  <c r="F4" i="83"/>
  <c r="F4" i="69"/>
  <c r="F4" i="84"/>
  <c r="F4" i="66"/>
  <c r="H4" i="72"/>
  <c r="F4" i="79"/>
  <c r="F4" i="65"/>
  <c r="F4" i="90"/>
  <c r="F4" i="47"/>
  <c r="F4" i="67"/>
  <c r="F4" i="43"/>
  <c r="F4" i="50"/>
  <c r="F4" i="64"/>
  <c r="F4" i="42"/>
  <c r="F4" i="62"/>
  <c r="F4" i="46"/>
  <c r="F4" i="44"/>
  <c r="F4" i="41"/>
  <c r="F4" i="40"/>
  <c r="F4" i="61"/>
  <c r="F4" i="85"/>
  <c r="F4" i="48"/>
  <c r="F4" i="63"/>
  <c r="F4" i="37"/>
  <c r="F4" i="91"/>
  <c r="F4" i="87"/>
  <c r="F4" i="57"/>
  <c r="F4" i="86"/>
  <c r="F4" i="92"/>
  <c r="F4" i="70"/>
  <c r="H2" i="72"/>
  <c r="F2" i="90"/>
  <c r="F2" i="79"/>
  <c r="F2" i="71"/>
  <c r="G2" i="78"/>
  <c r="F2" i="47"/>
  <c r="H2" i="82"/>
  <c r="F2" i="67"/>
  <c r="F2" i="89"/>
  <c r="F2" i="83"/>
  <c r="F2" i="50"/>
  <c r="F2" i="69"/>
  <c r="F2" i="48"/>
  <c r="F2" i="66"/>
  <c r="F2" i="42"/>
  <c r="F2" i="61"/>
  <c r="F2" i="41"/>
  <c r="F2" i="44"/>
  <c r="F2" i="40"/>
  <c r="F2" i="84"/>
  <c r="F2" i="43"/>
  <c r="F2" i="62"/>
  <c r="F2" i="65"/>
  <c r="F2" i="64"/>
  <c r="F2" i="46"/>
  <c r="F2" i="49"/>
  <c r="F2" i="63"/>
  <c r="F2" i="37"/>
  <c r="F2" i="86"/>
  <c r="F2" i="87"/>
  <c r="F2" i="91"/>
  <c r="F2" i="85"/>
  <c r="F37" i="85" s="1"/>
  <c r="N35" i="84"/>
  <c r="F26" i="37"/>
  <c r="F5" i="64"/>
  <c r="F5" i="67"/>
  <c r="F5" i="89"/>
  <c r="F5" i="83"/>
  <c r="H5" i="82"/>
  <c r="F5" i="90"/>
  <c r="F5" i="66"/>
  <c r="H5" i="72"/>
  <c r="F5" i="50"/>
  <c r="F5" i="71"/>
  <c r="G5" i="78"/>
  <c r="F5" i="65"/>
  <c r="F5" i="47"/>
  <c r="F5" i="79"/>
  <c r="F5" i="49"/>
  <c r="F5" i="62"/>
  <c r="F5" i="85"/>
  <c r="F5" i="46"/>
  <c r="F5" i="63"/>
  <c r="F5" i="42"/>
  <c r="F5" i="43"/>
  <c r="F5" i="48"/>
  <c r="F5" i="44"/>
  <c r="F5" i="69"/>
  <c r="F5" i="61"/>
  <c r="F5" i="41"/>
  <c r="F5" i="84"/>
  <c r="F5" i="40"/>
  <c r="F5" i="91"/>
  <c r="F5" i="37"/>
  <c r="F5" i="86"/>
  <c r="F5" i="92"/>
  <c r="H7" i="92"/>
  <c r="C28" i="57"/>
  <c r="F5" i="87"/>
  <c r="H7" i="70"/>
  <c r="F2" i="92"/>
  <c r="F5" i="57"/>
  <c r="J7" i="82"/>
  <c r="H7" i="79"/>
  <c r="H7" i="64"/>
  <c r="H7" i="67"/>
  <c r="J7" i="72"/>
  <c r="I7" i="78"/>
  <c r="H7" i="83"/>
  <c r="H7" i="90"/>
  <c r="H7" i="66"/>
  <c r="H7" i="50"/>
  <c r="H7" i="71"/>
  <c r="H7" i="69"/>
  <c r="H7" i="65"/>
  <c r="H7" i="89"/>
  <c r="H7" i="62"/>
  <c r="H7" i="63"/>
  <c r="H7" i="42"/>
  <c r="H7" i="49"/>
  <c r="H7" i="43"/>
  <c r="H7" i="44"/>
  <c r="H7" i="46"/>
  <c r="H7" i="41"/>
  <c r="H7" i="61"/>
  <c r="H7" i="48"/>
  <c r="H7" i="47"/>
  <c r="H7" i="91"/>
  <c r="H7" i="84"/>
  <c r="H7" i="85"/>
  <c r="H7" i="40"/>
  <c r="H7" i="86"/>
  <c r="H7" i="87"/>
  <c r="H7" i="37"/>
  <c r="J33" i="84"/>
  <c r="J41" i="84"/>
  <c r="J44" i="84" s="1"/>
  <c r="H28" i="40"/>
  <c r="F18" i="40"/>
  <c r="F30" i="40"/>
  <c r="F6" i="89"/>
  <c r="F6" i="69"/>
  <c r="F6" i="83"/>
  <c r="F6" i="90"/>
  <c r="H6" i="82"/>
  <c r="F6" i="79"/>
  <c r="F6" i="71"/>
  <c r="F6" i="49"/>
  <c r="F6" i="46"/>
  <c r="G6" i="78"/>
  <c r="F6" i="67"/>
  <c r="F6" i="50"/>
  <c r="F6" i="66"/>
  <c r="F6" i="65"/>
  <c r="F6" i="43"/>
  <c r="F6" i="62"/>
  <c r="F6" i="48"/>
  <c r="F6" i="41"/>
  <c r="F6" i="85"/>
  <c r="F6" i="47"/>
  <c r="F6" i="63"/>
  <c r="F6" i="44"/>
  <c r="F6" i="42"/>
  <c r="F6" i="61"/>
  <c r="F6" i="91"/>
  <c r="F6" i="37"/>
  <c r="F6" i="64"/>
  <c r="F6" i="40"/>
  <c r="H6" i="72"/>
  <c r="F6" i="84"/>
  <c r="F6" i="70"/>
  <c r="H53" i="40"/>
  <c r="F39" i="37"/>
  <c r="F7" i="71"/>
  <c r="F7" i="49"/>
  <c r="H7" i="82"/>
  <c r="F7" i="79"/>
  <c r="H7" i="72"/>
  <c r="G7" i="78"/>
  <c r="F7" i="69"/>
  <c r="F7" i="85"/>
  <c r="F7" i="89"/>
  <c r="F7" i="66"/>
  <c r="F7" i="83"/>
  <c r="F7" i="47"/>
  <c r="F7" i="43"/>
  <c r="F7" i="50"/>
  <c r="F7" i="64"/>
  <c r="F7" i="67"/>
  <c r="F7" i="46"/>
  <c r="F7" i="61"/>
  <c r="F7" i="65"/>
  <c r="F7" i="90"/>
  <c r="F7" i="42"/>
  <c r="F7" i="44"/>
  <c r="F7" i="48"/>
  <c r="F7" i="41"/>
  <c r="F7" i="63"/>
  <c r="F7" i="40"/>
  <c r="F7" i="91"/>
  <c r="F7" i="84"/>
  <c r="F7" i="70"/>
  <c r="F7" i="37"/>
  <c r="F52" i="84"/>
  <c r="H52" i="84"/>
  <c r="F7" i="62"/>
  <c r="H17" i="37"/>
  <c r="F18" i="37"/>
  <c r="F28" i="42"/>
  <c r="F29" i="37"/>
  <c r="F35" i="37"/>
  <c r="D33" i="84"/>
  <c r="F63" i="37"/>
  <c r="F34" i="40"/>
  <c r="L47" i="84"/>
  <c r="H29" i="37"/>
  <c r="H29" i="40"/>
  <c r="G55" i="40"/>
  <c r="H14" i="40"/>
  <c r="H21" i="49"/>
  <c r="H24" i="49"/>
  <c r="H14" i="49"/>
  <c r="H20" i="49"/>
  <c r="H23" i="49"/>
  <c r="H26" i="49"/>
  <c r="H17" i="49"/>
  <c r="H28" i="49"/>
  <c r="H19" i="49"/>
  <c r="H15" i="49"/>
  <c r="H16" i="49"/>
  <c r="H18" i="49"/>
  <c r="L41" i="84"/>
  <c r="L44" i="84" s="1"/>
  <c r="D41" i="84"/>
  <c r="D44" i="84" s="1"/>
  <c r="F41" i="37"/>
  <c r="H46" i="37"/>
  <c r="F15" i="40"/>
  <c r="E55" i="40"/>
  <c r="H36" i="37"/>
  <c r="H25" i="40"/>
  <c r="F42" i="37"/>
  <c r="H56" i="37"/>
  <c r="N41" i="84"/>
  <c r="N44" i="84" s="1"/>
  <c r="F32" i="37"/>
  <c r="F57" i="37"/>
  <c r="H26" i="40"/>
  <c r="H21" i="40"/>
  <c r="G15" i="41"/>
  <c r="H19" i="42"/>
  <c r="H24" i="37"/>
  <c r="F38" i="37"/>
  <c r="F22" i="40"/>
  <c r="H15" i="41"/>
  <c r="E31" i="42"/>
  <c r="F14" i="42"/>
  <c r="E16" i="41"/>
  <c r="G65" i="37"/>
  <c r="H19" i="37" s="1"/>
  <c r="H54" i="37"/>
  <c r="F33" i="40"/>
  <c r="H25" i="42"/>
  <c r="H33" i="40"/>
  <c r="F26" i="42"/>
  <c r="H14" i="44"/>
  <c r="H16" i="44" s="1"/>
  <c r="H38" i="40"/>
  <c r="H50" i="40"/>
  <c r="E16" i="44"/>
  <c r="F14" i="44" s="1"/>
  <c r="H25" i="49"/>
  <c r="L33" i="84"/>
  <c r="L52" i="84" s="1"/>
  <c r="H48" i="37"/>
  <c r="H18" i="40"/>
  <c r="F40" i="40"/>
  <c r="G31" i="42"/>
  <c r="F15" i="43"/>
  <c r="F16" i="43" s="1"/>
  <c r="F22" i="47"/>
  <c r="F29" i="42"/>
  <c r="H36" i="40"/>
  <c r="H44" i="40"/>
  <c r="H29" i="42"/>
  <c r="H45" i="37"/>
  <c r="F16" i="40"/>
  <c r="H27" i="40"/>
  <c r="F32" i="40"/>
  <c r="F41" i="40"/>
  <c r="E65" i="37"/>
  <c r="F21" i="37" s="1"/>
  <c r="F28" i="40"/>
  <c r="H20" i="42"/>
  <c r="H42" i="37"/>
  <c r="F50" i="37"/>
  <c r="F54" i="37"/>
  <c r="F46" i="40"/>
  <c r="F54" i="40"/>
  <c r="F16" i="47"/>
  <c r="E28" i="47"/>
  <c r="H37" i="40"/>
  <c r="F23" i="42"/>
  <c r="F27" i="42"/>
  <c r="H29" i="50"/>
  <c r="H26" i="50"/>
  <c r="H23" i="50"/>
  <c r="H20" i="50"/>
  <c r="H17" i="50"/>
  <c r="H16" i="46"/>
  <c r="G28" i="47"/>
  <c r="H27" i="47" s="1"/>
  <c r="F19" i="47"/>
  <c r="H23" i="47"/>
  <c r="F36" i="48"/>
  <c r="F21" i="49"/>
  <c r="H15" i="40"/>
  <c r="H35" i="40"/>
  <c r="H39" i="40"/>
  <c r="H16" i="42"/>
  <c r="F25" i="42"/>
  <c r="G42" i="48"/>
  <c r="H17" i="48" s="1"/>
  <c r="H24" i="47"/>
  <c r="H31" i="40"/>
  <c r="F25" i="47"/>
  <c r="H21" i="50"/>
  <c r="D68" i="83"/>
  <c r="H22" i="46"/>
  <c r="H23" i="46" s="1"/>
  <c r="H27" i="50"/>
  <c r="F14" i="69"/>
  <c r="H21" i="69"/>
  <c r="I14" i="69" s="1"/>
  <c r="H24" i="40"/>
  <c r="H42" i="40"/>
  <c r="H22" i="50"/>
  <c r="H18" i="50"/>
  <c r="H24" i="50"/>
  <c r="H39" i="37"/>
  <c r="F19" i="40"/>
  <c r="H22" i="40"/>
  <c r="H22" i="49"/>
  <c r="H54" i="40"/>
  <c r="F30" i="42"/>
  <c r="F14" i="50"/>
  <c r="E30" i="50"/>
  <c r="D64" i="83"/>
  <c r="H30" i="40"/>
  <c r="H51" i="40"/>
  <c r="G16" i="43"/>
  <c r="H27" i="49"/>
  <c r="F45" i="40"/>
  <c r="F52" i="40"/>
  <c r="F21" i="42"/>
  <c r="H15" i="50"/>
  <c r="F14" i="48"/>
  <c r="F41" i="84"/>
  <c r="F44" i="84" s="1"/>
  <c r="N32" i="84"/>
  <c r="N43" i="84" s="1"/>
  <c r="H48" i="40"/>
  <c r="E29" i="49"/>
  <c r="H45" i="40"/>
  <c r="H33" i="48"/>
  <c r="H19" i="50"/>
  <c r="H28" i="50"/>
  <c r="E42" i="48"/>
  <c r="F40" i="48" s="1"/>
  <c r="H16" i="50"/>
  <c r="H25" i="50"/>
  <c r="E14" i="69"/>
  <c r="D21" i="69"/>
  <c r="E16" i="69" s="1"/>
  <c r="D65" i="83"/>
  <c r="H14" i="50"/>
  <c r="H15" i="48" l="1"/>
  <c r="F31" i="48"/>
  <c r="H25" i="48"/>
  <c r="H27" i="42"/>
  <c r="H17" i="42"/>
  <c r="H30" i="42"/>
  <c r="H26" i="42"/>
  <c r="H18" i="42"/>
  <c r="H21" i="42"/>
  <c r="H28" i="42"/>
  <c r="H14" i="42"/>
  <c r="H24" i="42"/>
  <c r="H15" i="42"/>
  <c r="H23" i="42"/>
  <c r="H22" i="42"/>
  <c r="H50" i="37"/>
  <c r="H15" i="37"/>
  <c r="E59" i="40"/>
  <c r="F26" i="40"/>
  <c r="F27" i="40"/>
  <c r="F51" i="40"/>
  <c r="F53" i="40"/>
  <c r="F20" i="40"/>
  <c r="F37" i="40"/>
  <c r="F49" i="40"/>
  <c r="F23" i="40"/>
  <c r="F50" i="40"/>
  <c r="F38" i="40"/>
  <c r="F24" i="40"/>
  <c r="F17" i="40"/>
  <c r="F43" i="40"/>
  <c r="F47" i="40"/>
  <c r="F21" i="40"/>
  <c r="F31" i="40"/>
  <c r="F44" i="40"/>
  <c r="F39" i="40"/>
  <c r="F14" i="40"/>
  <c r="F45" i="37"/>
  <c r="F33" i="48"/>
  <c r="F21" i="50"/>
  <c r="F25" i="50"/>
  <c r="F16" i="50"/>
  <c r="F24" i="50"/>
  <c r="F15" i="50"/>
  <c r="F28" i="50"/>
  <c r="F19" i="50"/>
  <c r="F22" i="50"/>
  <c r="F27" i="50"/>
  <c r="F18" i="50"/>
  <c r="E18" i="69"/>
  <c r="F29" i="48"/>
  <c r="H64" i="37"/>
  <c r="H53" i="37"/>
  <c r="H49" i="37"/>
  <c r="H61" i="37"/>
  <c r="H20" i="37"/>
  <c r="H32" i="37"/>
  <c r="H14" i="37"/>
  <c r="H26" i="37"/>
  <c r="H40" i="37"/>
  <c r="H25" i="37"/>
  <c r="H62" i="37"/>
  <c r="H59" i="37"/>
  <c r="H58" i="37"/>
  <c r="H34" i="37"/>
  <c r="D93" i="92"/>
  <c r="G90" i="92"/>
  <c r="E88" i="92"/>
  <c r="C86" i="92"/>
  <c r="F83" i="92"/>
  <c r="D81" i="92"/>
  <c r="G78" i="92"/>
  <c r="E76" i="92"/>
  <c r="C74" i="92"/>
  <c r="F71" i="92"/>
  <c r="D69" i="92"/>
  <c r="G66" i="92"/>
  <c r="E64" i="92"/>
  <c r="C62" i="92"/>
  <c r="F59" i="92"/>
  <c r="D57" i="92"/>
  <c r="G54" i="92"/>
  <c r="E52" i="92"/>
  <c r="C50" i="92"/>
  <c r="F47" i="92"/>
  <c r="D45" i="92"/>
  <c r="G42" i="92"/>
  <c r="E40" i="92"/>
  <c r="C38" i="92"/>
  <c r="F35" i="92"/>
  <c r="D33" i="92"/>
  <c r="G30" i="92"/>
  <c r="E28" i="92"/>
  <c r="C26" i="92"/>
  <c r="F23" i="92"/>
  <c r="D21" i="92"/>
  <c r="G18" i="92"/>
  <c r="E16" i="92"/>
  <c r="F92" i="92"/>
  <c r="C90" i="92"/>
  <c r="E87" i="92"/>
  <c r="G84" i="92"/>
  <c r="D82" i="92"/>
  <c r="F79" i="92"/>
  <c r="C77" i="92"/>
  <c r="E74" i="92"/>
  <c r="G71" i="92"/>
  <c r="C69" i="92"/>
  <c r="E66" i="92"/>
  <c r="G63" i="92"/>
  <c r="D61" i="92"/>
  <c r="F58" i="92"/>
  <c r="C56" i="92"/>
  <c r="E53" i="92"/>
  <c r="G50" i="92"/>
  <c r="D48" i="92"/>
  <c r="F45" i="92"/>
  <c r="C43" i="92"/>
  <c r="D40" i="92"/>
  <c r="F37" i="92"/>
  <c r="C35" i="92"/>
  <c r="E32" i="92"/>
  <c r="G29" i="92"/>
  <c r="D27" i="92"/>
  <c r="F24" i="92"/>
  <c r="C22" i="92"/>
  <c r="E19" i="92"/>
  <c r="G16" i="92"/>
  <c r="G94" i="92"/>
  <c r="D92" i="92"/>
  <c r="F89" i="92"/>
  <c r="C87" i="92"/>
  <c r="E84" i="92"/>
  <c r="G81" i="92"/>
  <c r="D79" i="92"/>
  <c r="F76" i="92"/>
  <c r="G73" i="92"/>
  <c r="D71" i="92"/>
  <c r="F68" i="92"/>
  <c r="C66" i="92"/>
  <c r="E63" i="92"/>
  <c r="G60" i="92"/>
  <c r="D58" i="92"/>
  <c r="F55" i="92"/>
  <c r="C53" i="92"/>
  <c r="E50" i="92"/>
  <c r="G47" i="92"/>
  <c r="C45" i="92"/>
  <c r="E42" i="92"/>
  <c r="G39" i="92"/>
  <c r="D37" i="92"/>
  <c r="F34" i="92"/>
  <c r="C32" i="92"/>
  <c r="E29" i="92"/>
  <c r="G26" i="92"/>
  <c r="D24" i="92"/>
  <c r="F21" i="92"/>
  <c r="C19" i="92"/>
  <c r="D16" i="92"/>
  <c r="D94" i="92"/>
  <c r="F91" i="92"/>
  <c r="C89" i="92"/>
  <c r="E86" i="92"/>
  <c r="G83" i="92"/>
  <c r="C81" i="92"/>
  <c r="E78" i="92"/>
  <c r="G75" i="92"/>
  <c r="D73" i="92"/>
  <c r="F70" i="92"/>
  <c r="C68" i="92"/>
  <c r="E65" i="92"/>
  <c r="G62" i="92"/>
  <c r="D60" i="92"/>
  <c r="F57" i="92"/>
  <c r="C55" i="92"/>
  <c r="D52" i="92"/>
  <c r="F49" i="92"/>
  <c r="C47" i="92"/>
  <c r="E44" i="92"/>
  <c r="G41" i="92"/>
  <c r="D39" i="92"/>
  <c r="F36" i="92"/>
  <c r="C34" i="92"/>
  <c r="E31" i="92"/>
  <c r="G28" i="92"/>
  <c r="D26" i="92"/>
  <c r="E23" i="92"/>
  <c r="G20" i="92"/>
  <c r="D18" i="92"/>
  <c r="F15" i="92"/>
  <c r="F93" i="92"/>
  <c r="C91" i="92"/>
  <c r="D88" i="92"/>
  <c r="F85" i="92"/>
  <c r="C83" i="92"/>
  <c r="C94" i="92"/>
  <c r="D90" i="92"/>
  <c r="D86" i="92"/>
  <c r="E82" i="92"/>
  <c r="F78" i="92"/>
  <c r="D75" i="92"/>
  <c r="C72" i="92"/>
  <c r="D68" i="92"/>
  <c r="G64" i="92"/>
  <c r="E61" i="92"/>
  <c r="G57" i="92"/>
  <c r="D54" i="92"/>
  <c r="C51" i="92"/>
  <c r="D47" i="92"/>
  <c r="G43" i="92"/>
  <c r="F40" i="92"/>
  <c r="G36" i="92"/>
  <c r="E33" i="92"/>
  <c r="C30" i="92"/>
  <c r="E26" i="92"/>
  <c r="G22" i="92"/>
  <c r="F19" i="92"/>
  <c r="G15" i="92"/>
  <c r="G93" i="92"/>
  <c r="G89" i="92"/>
  <c r="G85" i="92"/>
  <c r="C82" i="92"/>
  <c r="D78" i="92"/>
  <c r="C75" i="92"/>
  <c r="E71" i="92"/>
  <c r="G67" i="92"/>
  <c r="F64" i="92"/>
  <c r="C61" i="92"/>
  <c r="E57" i="92"/>
  <c r="C54" i="92"/>
  <c r="F50" i="92"/>
  <c r="G46" i="92"/>
  <c r="F43" i="92"/>
  <c r="C40" i="92"/>
  <c r="E36" i="92"/>
  <c r="C33" i="92"/>
  <c r="F29" i="92"/>
  <c r="G25" i="92"/>
  <c r="F22" i="92"/>
  <c r="D19" i="92"/>
  <c r="E15" i="92"/>
  <c r="E93" i="92"/>
  <c r="E85" i="92"/>
  <c r="C78" i="92"/>
  <c r="C71" i="92"/>
  <c r="D64" i="92"/>
  <c r="C57" i="92"/>
  <c r="D50" i="92"/>
  <c r="F46" i="92"/>
  <c r="F39" i="92"/>
  <c r="D36" i="92"/>
  <c r="D29" i="92"/>
  <c r="E22" i="92"/>
  <c r="D15" i="92"/>
  <c r="E89" i="92"/>
  <c r="F81" i="92"/>
  <c r="G74" i="92"/>
  <c r="F67" i="92"/>
  <c r="F60" i="92"/>
  <c r="G53" i="92"/>
  <c r="E43" i="92"/>
  <c r="G32" i="92"/>
  <c r="F25" i="92"/>
  <c r="F18" i="92"/>
  <c r="D28" i="92"/>
  <c r="G17" i="92"/>
  <c r="C93" i="92"/>
  <c r="D89" i="92"/>
  <c r="D85" i="92"/>
  <c r="E81" i="92"/>
  <c r="G77" i="92"/>
  <c r="F74" i="92"/>
  <c r="G70" i="92"/>
  <c r="E67" i="92"/>
  <c r="C64" i="92"/>
  <c r="E60" i="92"/>
  <c r="G56" i="92"/>
  <c r="F53" i="92"/>
  <c r="G49" i="92"/>
  <c r="E46" i="92"/>
  <c r="D43" i="92"/>
  <c r="E39" i="92"/>
  <c r="C36" i="92"/>
  <c r="F32" i="92"/>
  <c r="C29" i="92"/>
  <c r="E25" i="92"/>
  <c r="D22" i="92"/>
  <c r="E18" i="92"/>
  <c r="C15" i="92"/>
  <c r="F41" i="85" s="1"/>
  <c r="D53" i="92"/>
  <c r="F28" i="92"/>
  <c r="C18" i="92"/>
  <c r="E92" i="92"/>
  <c r="F73" i="92"/>
  <c r="D63" i="92"/>
  <c r="G52" i="92"/>
  <c r="C46" i="92"/>
  <c r="E35" i="92"/>
  <c r="C25" i="92"/>
  <c r="G92" i="92"/>
  <c r="G88" i="92"/>
  <c r="C85" i="92"/>
  <c r="G80" i="92"/>
  <c r="F77" i="92"/>
  <c r="D74" i="92"/>
  <c r="E70" i="92"/>
  <c r="D67" i="92"/>
  <c r="F63" i="92"/>
  <c r="C60" i="92"/>
  <c r="F56" i="92"/>
  <c r="E49" i="92"/>
  <c r="D46" i="92"/>
  <c r="F42" i="92"/>
  <c r="C39" i="92"/>
  <c r="G35" i="92"/>
  <c r="D32" i="92"/>
  <c r="D25" i="92"/>
  <c r="G21" i="92"/>
  <c r="F88" i="92"/>
  <c r="F84" i="92"/>
  <c r="F80" i="92"/>
  <c r="E77" i="92"/>
  <c r="D70" i="92"/>
  <c r="C67" i="92"/>
  <c r="G59" i="92"/>
  <c r="E56" i="92"/>
  <c r="D49" i="92"/>
  <c r="D42" i="92"/>
  <c r="G31" i="92"/>
  <c r="E21" i="92"/>
  <c r="G38" i="92"/>
  <c r="C92" i="92"/>
  <c r="C88" i="92"/>
  <c r="D84" i="92"/>
  <c r="E80" i="92"/>
  <c r="D77" i="92"/>
  <c r="E73" i="92"/>
  <c r="C70" i="92"/>
  <c r="F66" i="92"/>
  <c r="C63" i="92"/>
  <c r="E59" i="92"/>
  <c r="D56" i="92"/>
  <c r="F52" i="92"/>
  <c r="C49" i="92"/>
  <c r="G45" i="92"/>
  <c r="C42" i="92"/>
  <c r="F38" i="92"/>
  <c r="D35" i="92"/>
  <c r="F31" i="92"/>
  <c r="C28" i="92"/>
  <c r="G24" i="92"/>
  <c r="C21" i="92"/>
  <c r="F17" i="92"/>
  <c r="G91" i="92"/>
  <c r="G87" i="92"/>
  <c r="C84" i="92"/>
  <c r="D80" i="92"/>
  <c r="G76" i="92"/>
  <c r="C73" i="92"/>
  <c r="G69" i="92"/>
  <c r="D66" i="92"/>
  <c r="F62" i="92"/>
  <c r="D59" i="92"/>
  <c r="G55" i="92"/>
  <c r="C52" i="92"/>
  <c r="G48" i="92"/>
  <c r="E45" i="92"/>
  <c r="F41" i="92"/>
  <c r="E38" i="92"/>
  <c r="G34" i="92"/>
  <c r="D31" i="92"/>
  <c r="G27" i="92"/>
  <c r="E24" i="92"/>
  <c r="F20" i="92"/>
  <c r="E17" i="92"/>
  <c r="D91" i="92"/>
  <c r="D87" i="92"/>
  <c r="D83" i="92"/>
  <c r="G79" i="92"/>
  <c r="C76" i="92"/>
  <c r="F72" i="92"/>
  <c r="E69" i="92"/>
  <c r="F65" i="92"/>
  <c r="D62" i="92"/>
  <c r="G58" i="92"/>
  <c r="D55" i="92"/>
  <c r="F51" i="92"/>
  <c r="E48" i="92"/>
  <c r="F44" i="92"/>
  <c r="D41" i="92"/>
  <c r="G37" i="92"/>
  <c r="D34" i="92"/>
  <c r="F30" i="92"/>
  <c r="E27" i="92"/>
  <c r="G23" i="92"/>
  <c r="D20" i="92"/>
  <c r="C17" i="92"/>
  <c r="F94" i="92"/>
  <c r="F90" i="92"/>
  <c r="G86" i="92"/>
  <c r="G82" i="92"/>
  <c r="E79" i="92"/>
  <c r="F75" i="92"/>
  <c r="E72" i="92"/>
  <c r="G68" i="92"/>
  <c r="D65" i="92"/>
  <c r="G61" i="92"/>
  <c r="E58" i="92"/>
  <c r="F54" i="92"/>
  <c r="E51" i="92"/>
  <c r="C48" i="92"/>
  <c r="D44" i="92"/>
  <c r="C41" i="92"/>
  <c r="E37" i="92"/>
  <c r="G33" i="92"/>
  <c r="E30" i="92"/>
  <c r="C27" i="92"/>
  <c r="D23" i="92"/>
  <c r="C20" i="92"/>
  <c r="F16" i="92"/>
  <c r="F86" i="92"/>
  <c r="C65" i="92"/>
  <c r="C44" i="92"/>
  <c r="C23" i="92"/>
  <c r="G44" i="92"/>
  <c r="E83" i="92"/>
  <c r="E62" i="92"/>
  <c r="E41" i="92"/>
  <c r="E20" i="92"/>
  <c r="F82" i="92"/>
  <c r="F61" i="92"/>
  <c r="G40" i="92"/>
  <c r="G19" i="92"/>
  <c r="E34" i="92"/>
  <c r="D51" i="92"/>
  <c r="C80" i="92"/>
  <c r="C59" i="92"/>
  <c r="D38" i="92"/>
  <c r="D17" i="92"/>
  <c r="C79" i="92"/>
  <c r="C58" i="92"/>
  <c r="C16" i="92"/>
  <c r="E55" i="92"/>
  <c r="D30" i="92"/>
  <c r="G65" i="92"/>
  <c r="C37" i="92"/>
  <c r="D76" i="92"/>
  <c r="D72" i="92"/>
  <c r="F69" i="92"/>
  <c r="F87" i="92"/>
  <c r="C24" i="92"/>
  <c r="F48" i="92"/>
  <c r="E75" i="92"/>
  <c r="E54" i="92"/>
  <c r="F33" i="92"/>
  <c r="G72" i="92"/>
  <c r="G51" i="92"/>
  <c r="C31" i="92"/>
  <c r="E94" i="92"/>
  <c r="E91" i="92"/>
  <c r="F27" i="92"/>
  <c r="E90" i="92"/>
  <c r="E68" i="92"/>
  <c r="E47" i="92"/>
  <c r="F26" i="92"/>
  <c r="F38" i="48"/>
  <c r="F28" i="49"/>
  <c r="F25" i="49"/>
  <c r="F22" i="49"/>
  <c r="F19" i="49"/>
  <c r="F16" i="49"/>
  <c r="F15" i="49"/>
  <c r="F18" i="49"/>
  <c r="F27" i="49"/>
  <c r="F14" i="49"/>
  <c r="F17" i="49"/>
  <c r="F26" i="49"/>
  <c r="F20" i="49"/>
  <c r="F24" i="49"/>
  <c r="F23" i="49"/>
  <c r="F19" i="48"/>
  <c r="F41" i="48"/>
  <c r="F23" i="50"/>
  <c r="H35" i="48"/>
  <c r="F23" i="48"/>
  <c r="H52" i="37"/>
  <c r="H28" i="37"/>
  <c r="H31" i="37"/>
  <c r="H18" i="37"/>
  <c r="H29" i="49"/>
  <c r="H33" i="37"/>
  <c r="H32" i="48"/>
  <c r="F100" i="91"/>
  <c r="D99" i="91"/>
  <c r="L97" i="91"/>
  <c r="J96" i="91"/>
  <c r="H95" i="91"/>
  <c r="F94" i="91"/>
  <c r="D93" i="91"/>
  <c r="L91" i="91"/>
  <c r="J90" i="91"/>
  <c r="H89" i="91"/>
  <c r="F88" i="91"/>
  <c r="D87" i="91"/>
  <c r="L85" i="91"/>
  <c r="J84" i="91"/>
  <c r="H83" i="91"/>
  <c r="F82" i="91"/>
  <c r="D81" i="91"/>
  <c r="I100" i="91"/>
  <c r="H100" i="91"/>
  <c r="E99" i="91"/>
  <c r="K97" i="91"/>
  <c r="H96" i="91"/>
  <c r="E95" i="91"/>
  <c r="L93" i="91"/>
  <c r="I92" i="91"/>
  <c r="F91" i="91"/>
  <c r="C90" i="91"/>
  <c r="J88" i="91"/>
  <c r="J100" i="91"/>
  <c r="C99" i="91"/>
  <c r="I97" i="91"/>
  <c r="E96" i="91"/>
  <c r="K94" i="91"/>
  <c r="G93" i="91"/>
  <c r="C92" i="91"/>
  <c r="H90" i="91"/>
  <c r="D89" i="91"/>
  <c r="J87" i="91"/>
  <c r="G86" i="91"/>
  <c r="D85" i="91"/>
  <c r="K83" i="91"/>
  <c r="H82" i="91"/>
  <c r="E81" i="91"/>
  <c r="L79" i="91"/>
  <c r="J78" i="91"/>
  <c r="H77" i="91"/>
  <c r="F76" i="91"/>
  <c r="D75" i="91"/>
  <c r="L73" i="91"/>
  <c r="J72" i="91"/>
  <c r="H71" i="91"/>
  <c r="F70" i="91"/>
  <c r="D69" i="91"/>
  <c r="L67" i="91"/>
  <c r="J66" i="91"/>
  <c r="H65" i="91"/>
  <c r="F64" i="91"/>
  <c r="D63" i="91"/>
  <c r="L61" i="91"/>
  <c r="J60" i="91"/>
  <c r="H99" i="91"/>
  <c r="C98" i="91"/>
  <c r="F96" i="91"/>
  <c r="J94" i="91"/>
  <c r="E93" i="91"/>
  <c r="I91" i="91"/>
  <c r="D90" i="91"/>
  <c r="H88" i="91"/>
  <c r="C87" i="91"/>
  <c r="I85" i="91"/>
  <c r="E84" i="91"/>
  <c r="K82" i="91"/>
  <c r="G81" i="91"/>
  <c r="C80" i="91"/>
  <c r="I78" i="91"/>
  <c r="F77" i="91"/>
  <c r="C76" i="91"/>
  <c r="J74" i="91"/>
  <c r="G73" i="91"/>
  <c r="D72" i="91"/>
  <c r="K70" i="91"/>
  <c r="H69" i="91"/>
  <c r="E68" i="91"/>
  <c r="L66" i="91"/>
  <c r="I65" i="91"/>
  <c r="E64" i="91"/>
  <c r="L62" i="91"/>
  <c r="I61" i="91"/>
  <c r="F60" i="91"/>
  <c r="D59" i="91"/>
  <c r="L57" i="91"/>
  <c r="J56" i="91"/>
  <c r="H55" i="91"/>
  <c r="F54" i="91"/>
  <c r="D53" i="91"/>
  <c r="L51" i="91"/>
  <c r="J50" i="91"/>
  <c r="H49" i="91"/>
  <c r="F48" i="91"/>
  <c r="D47" i="91"/>
  <c r="J44" i="91"/>
  <c r="H43" i="91"/>
  <c r="F42" i="91"/>
  <c r="D41" i="91"/>
  <c r="L39" i="91"/>
  <c r="J38" i="91"/>
  <c r="H37" i="91"/>
  <c r="F36" i="91"/>
  <c r="D35" i="91"/>
  <c r="J32" i="91"/>
  <c r="H31" i="91"/>
  <c r="F30" i="91"/>
  <c r="D29" i="91"/>
  <c r="G99" i="91"/>
  <c r="H97" i="91"/>
  <c r="L95" i="91"/>
  <c r="E94" i="91"/>
  <c r="H92" i="91"/>
  <c r="L90" i="91"/>
  <c r="E89" i="91"/>
  <c r="H87" i="91"/>
  <c r="C86" i="91"/>
  <c r="G84" i="91"/>
  <c r="L82" i="91"/>
  <c r="F81" i="91"/>
  <c r="J79" i="91"/>
  <c r="F78" i="91"/>
  <c r="L76" i="91"/>
  <c r="H75" i="91"/>
  <c r="D74" i="91"/>
  <c r="I72" i="91"/>
  <c r="E71" i="91"/>
  <c r="K69" i="91"/>
  <c r="G68" i="91"/>
  <c r="C67" i="91"/>
  <c r="G65" i="91"/>
  <c r="C64" i="91"/>
  <c r="I62" i="91"/>
  <c r="E61" i="91"/>
  <c r="K59" i="91"/>
  <c r="H58" i="91"/>
  <c r="E57" i="91"/>
  <c r="L55" i="91"/>
  <c r="I54" i="91"/>
  <c r="F53" i="91"/>
  <c r="C52" i="91"/>
  <c r="I50" i="91"/>
  <c r="F49" i="91"/>
  <c r="C48" i="91"/>
  <c r="J46" i="91"/>
  <c r="G45" i="91"/>
  <c r="D44" i="91"/>
  <c r="K42" i="91"/>
  <c r="H41" i="91"/>
  <c r="E40" i="91"/>
  <c r="I37" i="91"/>
  <c r="E36" i="91"/>
  <c r="I33" i="91"/>
  <c r="F32" i="91"/>
  <c r="C31" i="91"/>
  <c r="J29" i="91"/>
  <c r="E27" i="91"/>
  <c r="C26" i="91"/>
  <c r="D21" i="91"/>
  <c r="G100" i="91"/>
  <c r="J98" i="91"/>
  <c r="D97" i="91"/>
  <c r="G95" i="91"/>
  <c r="J93" i="91"/>
  <c r="D92" i="91"/>
  <c r="F90" i="91"/>
  <c r="I88" i="91"/>
  <c r="L86" i="91"/>
  <c r="G85" i="91"/>
  <c r="L83" i="91"/>
  <c r="E82" i="91"/>
  <c r="J80" i="91"/>
  <c r="F79" i="91"/>
  <c r="L77" i="91"/>
  <c r="H76" i="91"/>
  <c r="C75" i="91"/>
  <c r="I73" i="91"/>
  <c r="E72" i="91"/>
  <c r="J70" i="91"/>
  <c r="F69" i="91"/>
  <c r="K67" i="91"/>
  <c r="G66" i="91"/>
  <c r="C65" i="91"/>
  <c r="I63" i="91"/>
  <c r="E62" i="91"/>
  <c r="K60" i="91"/>
  <c r="G59" i="91"/>
  <c r="D58" i="91"/>
  <c r="K56" i="91"/>
  <c r="G55" i="91"/>
  <c r="D54" i="91"/>
  <c r="K52" i="91"/>
  <c r="H51" i="91"/>
  <c r="E50" i="91"/>
  <c r="L48" i="91"/>
  <c r="I47" i="91"/>
  <c r="F46" i="91"/>
  <c r="C45" i="91"/>
  <c r="J43" i="91"/>
  <c r="G42" i="91"/>
  <c r="C41" i="91"/>
  <c r="J39" i="91"/>
  <c r="G38" i="91"/>
  <c r="D37" i="91"/>
  <c r="K35" i="91"/>
  <c r="H34" i="91"/>
  <c r="E33" i="91"/>
  <c r="I30" i="91"/>
  <c r="C28" i="91"/>
  <c r="C100" i="91"/>
  <c r="L100" i="91" s="1"/>
  <c r="E98" i="91"/>
  <c r="C96" i="91"/>
  <c r="C94" i="91"/>
  <c r="K91" i="91"/>
  <c r="K89" i="91"/>
  <c r="L87" i="91"/>
  <c r="D86" i="91"/>
  <c r="D84" i="91"/>
  <c r="D82" i="91"/>
  <c r="G80" i="91"/>
  <c r="K78" i="91"/>
  <c r="C77" i="91"/>
  <c r="F75" i="91"/>
  <c r="H73" i="91"/>
  <c r="K71" i="91"/>
  <c r="D70" i="91"/>
  <c r="H68" i="91"/>
  <c r="I66" i="91"/>
  <c r="L64" i="91"/>
  <c r="F63" i="91"/>
  <c r="H61" i="91"/>
  <c r="L59" i="91"/>
  <c r="F58" i="91"/>
  <c r="I56" i="91"/>
  <c r="D55" i="91"/>
  <c r="I53" i="91"/>
  <c r="D52" i="91"/>
  <c r="G50" i="91"/>
  <c r="K48" i="91"/>
  <c r="F47" i="91"/>
  <c r="J45" i="91"/>
  <c r="E44" i="91"/>
  <c r="I42" i="91"/>
  <c r="G39" i="91"/>
  <c r="G36" i="91"/>
  <c r="J34" i="91"/>
  <c r="D33" i="91"/>
  <c r="L33" i="91" s="1"/>
  <c r="I31" i="91"/>
  <c r="C30" i="91"/>
  <c r="L99" i="91"/>
  <c r="D98" i="91"/>
  <c r="K95" i="91"/>
  <c r="K93" i="91"/>
  <c r="J91" i="91"/>
  <c r="J89" i="91"/>
  <c r="K87" i="91"/>
  <c r="K85" i="91"/>
  <c r="C84" i="91"/>
  <c r="C82" i="91"/>
  <c r="F80" i="91"/>
  <c r="H78" i="91"/>
  <c r="K76" i="91"/>
  <c r="E75" i="91"/>
  <c r="F73" i="91"/>
  <c r="J71" i="91"/>
  <c r="C70" i="91"/>
  <c r="F68" i="91"/>
  <c r="H66" i="91"/>
  <c r="K64" i="91"/>
  <c r="E63" i="91"/>
  <c r="G61" i="91"/>
  <c r="J59" i="91"/>
  <c r="E58" i="91"/>
  <c r="H56" i="91"/>
  <c r="C55" i="91"/>
  <c r="H53" i="91"/>
  <c r="K51" i="91"/>
  <c r="F50" i="91"/>
  <c r="J48" i="91"/>
  <c r="E47" i="91"/>
  <c r="I45" i="91"/>
  <c r="C44" i="91"/>
  <c r="H42" i="91"/>
  <c r="L42" i="91" s="1"/>
  <c r="K40" i="91"/>
  <c r="F39" i="91"/>
  <c r="K37" i="91"/>
  <c r="D36" i="91"/>
  <c r="I34" i="91"/>
  <c r="C33" i="91"/>
  <c r="G31" i="91"/>
  <c r="D27" i="91"/>
  <c r="E22" i="91"/>
  <c r="J99" i="91"/>
  <c r="G97" i="91"/>
  <c r="I95" i="91"/>
  <c r="H93" i="91"/>
  <c r="G91" i="91"/>
  <c r="G89" i="91"/>
  <c r="G87" i="91"/>
  <c r="H85" i="91"/>
  <c r="I83" i="91"/>
  <c r="K81" i="91"/>
  <c r="D80" i="91"/>
  <c r="E78" i="91"/>
  <c r="I76" i="91"/>
  <c r="K74" i="91"/>
  <c r="D73" i="91"/>
  <c r="G71" i="91"/>
  <c r="J69" i="91"/>
  <c r="C68" i="91"/>
  <c r="E66" i="91"/>
  <c r="I64" i="91"/>
  <c r="K62" i="91"/>
  <c r="D61" i="91"/>
  <c r="H59" i="91"/>
  <c r="K57" i="91"/>
  <c r="F56" i="91"/>
  <c r="K54" i="91"/>
  <c r="E53" i="91"/>
  <c r="I51" i="91"/>
  <c r="C50" i="91"/>
  <c r="H48" i="91"/>
  <c r="F45" i="91"/>
  <c r="K43" i="91"/>
  <c r="D42" i="91"/>
  <c r="I40" i="91"/>
  <c r="D39" i="91"/>
  <c r="G37" i="91"/>
  <c r="L35" i="91"/>
  <c r="F34" i="91"/>
  <c r="K32" i="91"/>
  <c r="E31" i="91"/>
  <c r="I29" i="91"/>
  <c r="E23" i="91"/>
  <c r="C22" i="91"/>
  <c r="L98" i="91"/>
  <c r="C97" i="91"/>
  <c r="C95" i="91"/>
  <c r="L92" i="91"/>
  <c r="C91" i="91"/>
  <c r="L88" i="91"/>
  <c r="K86" i="91"/>
  <c r="C85" i="91"/>
  <c r="E83" i="91"/>
  <c r="H81" i="91"/>
  <c r="H79" i="91"/>
  <c r="K77" i="91"/>
  <c r="D76" i="91"/>
  <c r="G74" i="91"/>
  <c r="K72" i="91"/>
  <c r="C71" i="91"/>
  <c r="E69" i="91"/>
  <c r="H67" i="91"/>
  <c r="L65" i="91"/>
  <c r="D64" i="91"/>
  <c r="G62" i="91"/>
  <c r="I60" i="91"/>
  <c r="C59" i="91"/>
  <c r="H57" i="91"/>
  <c r="C56" i="91"/>
  <c r="G54" i="91"/>
  <c r="J52" i="91"/>
  <c r="E51" i="91"/>
  <c r="J49" i="91"/>
  <c r="D48" i="91"/>
  <c r="H46" i="91"/>
  <c r="L44" i="91"/>
  <c r="F43" i="91"/>
  <c r="K41" i="91"/>
  <c r="F40" i="91"/>
  <c r="I38" i="91"/>
  <c r="C37" i="91"/>
  <c r="H35" i="91"/>
  <c r="C34" i="91"/>
  <c r="G32" i="91"/>
  <c r="K30" i="91"/>
  <c r="D24" i="91"/>
  <c r="L24" i="91" s="1"/>
  <c r="K100" i="91"/>
  <c r="H98" i="91"/>
  <c r="I96" i="91"/>
  <c r="H94" i="91"/>
  <c r="G92" i="91"/>
  <c r="G90" i="91"/>
  <c r="E88" i="91"/>
  <c r="H86" i="91"/>
  <c r="I84" i="91"/>
  <c r="J82" i="91"/>
  <c r="K80" i="91"/>
  <c r="D79" i="91"/>
  <c r="G77" i="91"/>
  <c r="J75" i="91"/>
  <c r="C74" i="91"/>
  <c r="F72" i="91"/>
  <c r="H70" i="91"/>
  <c r="K68" i="91"/>
  <c r="E67" i="91"/>
  <c r="F65" i="91"/>
  <c r="J63" i="91"/>
  <c r="C62" i="91"/>
  <c r="E60" i="91"/>
  <c r="J58" i="91"/>
  <c r="D57" i="91"/>
  <c r="E100" i="91"/>
  <c r="G98" i="91"/>
  <c r="G96" i="91"/>
  <c r="G94" i="91"/>
  <c r="F92" i="91"/>
  <c r="E90" i="91"/>
  <c r="D88" i="91"/>
  <c r="F86" i="91"/>
  <c r="H84" i="91"/>
  <c r="I82" i="91"/>
  <c r="I80" i="91"/>
  <c r="C79" i="91"/>
  <c r="E77" i="91"/>
  <c r="I75" i="91"/>
  <c r="K73" i="91"/>
  <c r="C72" i="91"/>
  <c r="G70" i="91"/>
  <c r="J68" i="91"/>
  <c r="D67" i="91"/>
  <c r="E65" i="91"/>
  <c r="H63" i="91"/>
  <c r="K61" i="91"/>
  <c r="D60" i="91"/>
  <c r="I58" i="91"/>
  <c r="C57" i="91"/>
  <c r="F55" i="91"/>
  <c r="K53" i="91"/>
  <c r="F52" i="91"/>
  <c r="K50" i="91"/>
  <c r="D49" i="91"/>
  <c r="H47" i="91"/>
  <c r="C46" i="91"/>
  <c r="H29" i="87" s="1"/>
  <c r="G44" i="91"/>
  <c r="F41" i="91"/>
  <c r="I39" i="91"/>
  <c r="D38" i="91"/>
  <c r="L38" i="91" s="1"/>
  <c r="I36" i="91"/>
  <c r="C35" i="91"/>
  <c r="G33" i="91"/>
  <c r="K31" i="91"/>
  <c r="E30" i="91"/>
  <c r="L96" i="91"/>
  <c r="K92" i="91"/>
  <c r="K88" i="91"/>
  <c r="L84" i="91"/>
  <c r="C81" i="91"/>
  <c r="J77" i="91"/>
  <c r="F74" i="91"/>
  <c r="L70" i="91"/>
  <c r="G67" i="91"/>
  <c r="L63" i="91"/>
  <c r="H60" i="91"/>
  <c r="G57" i="91"/>
  <c r="H54" i="91"/>
  <c r="J51" i="91"/>
  <c r="E49" i="91"/>
  <c r="G46" i="91"/>
  <c r="I43" i="91"/>
  <c r="E41" i="91"/>
  <c r="F38" i="91"/>
  <c r="I35" i="91"/>
  <c r="K96" i="91"/>
  <c r="J92" i="91"/>
  <c r="G88" i="91"/>
  <c r="K84" i="91"/>
  <c r="L80" i="91"/>
  <c r="I77" i="91"/>
  <c r="E74" i="91"/>
  <c r="I70" i="91"/>
  <c r="F67" i="91"/>
  <c r="K63" i="91"/>
  <c r="G60" i="91"/>
  <c r="F57" i="91"/>
  <c r="E54" i="91"/>
  <c r="G51" i="91"/>
  <c r="C49" i="91"/>
  <c r="E46" i="91"/>
  <c r="G43" i="91"/>
  <c r="J40" i="91"/>
  <c r="E38" i="91"/>
  <c r="G35" i="91"/>
  <c r="I32" i="91"/>
  <c r="D30" i="91"/>
  <c r="E24" i="91"/>
  <c r="E21" i="91"/>
  <c r="D100" i="91"/>
  <c r="E92" i="91"/>
  <c r="C88" i="91"/>
  <c r="H80" i="91"/>
  <c r="J73" i="91"/>
  <c r="K66" i="91"/>
  <c r="C60" i="91"/>
  <c r="C54" i="91"/>
  <c r="I48" i="91"/>
  <c r="E43" i="91"/>
  <c r="C38" i="91"/>
  <c r="F35" i="91"/>
  <c r="K29" i="91"/>
  <c r="C24" i="91"/>
  <c r="C21" i="91"/>
  <c r="D96" i="91"/>
  <c r="F84" i="91"/>
  <c r="D77" i="91"/>
  <c r="E70" i="91"/>
  <c r="G63" i="91"/>
  <c r="L56" i="91"/>
  <c r="F51" i="91"/>
  <c r="D46" i="91"/>
  <c r="L46" i="91" s="1"/>
  <c r="H40" i="91"/>
  <c r="H32" i="91"/>
  <c r="K99" i="91"/>
  <c r="J95" i="91"/>
  <c r="H91" i="91"/>
  <c r="I87" i="91"/>
  <c r="J83" i="91"/>
  <c r="E80" i="91"/>
  <c r="J76" i="91"/>
  <c r="E73" i="91"/>
  <c r="L69" i="91"/>
  <c r="F66" i="91"/>
  <c r="C63" i="91"/>
  <c r="I59" i="91"/>
  <c r="G56" i="91"/>
  <c r="L53" i="91"/>
  <c r="D51" i="91"/>
  <c r="G48" i="91"/>
  <c r="K45" i="91"/>
  <c r="D43" i="91"/>
  <c r="G40" i="91"/>
  <c r="J37" i="91"/>
  <c r="E35" i="91"/>
  <c r="E32" i="91"/>
  <c r="H29" i="91"/>
  <c r="E28" i="91"/>
  <c r="E25" i="91"/>
  <c r="I99" i="91"/>
  <c r="F95" i="91"/>
  <c r="E91" i="91"/>
  <c r="F87" i="91"/>
  <c r="G83" i="91"/>
  <c r="K79" i="91"/>
  <c r="G76" i="91"/>
  <c r="C73" i="91"/>
  <c r="I69" i="91"/>
  <c r="D66" i="91"/>
  <c r="J62" i="91"/>
  <c r="F59" i="91"/>
  <c r="E56" i="91"/>
  <c r="J53" i="91"/>
  <c r="C51" i="91"/>
  <c r="E48" i="91"/>
  <c r="H45" i="91"/>
  <c r="C43" i="91"/>
  <c r="D40" i="91"/>
  <c r="F37" i="91"/>
  <c r="K34" i="91"/>
  <c r="D32" i="91"/>
  <c r="L32" i="91" s="1"/>
  <c r="D28" i="91"/>
  <c r="D25" i="91"/>
  <c r="F99" i="91"/>
  <c r="D95" i="91"/>
  <c r="D91" i="91"/>
  <c r="E87" i="91"/>
  <c r="F83" i="91"/>
  <c r="I79" i="91"/>
  <c r="E76" i="91"/>
  <c r="L72" i="91"/>
  <c r="G69" i="91"/>
  <c r="C66" i="91"/>
  <c r="H62" i="91"/>
  <c r="E59" i="91"/>
  <c r="D56" i="91"/>
  <c r="G53" i="91"/>
  <c r="L50" i="91"/>
  <c r="L47" i="91"/>
  <c r="E45" i="91"/>
  <c r="J42" i="91"/>
  <c r="C40" i="91"/>
  <c r="E37" i="91"/>
  <c r="G34" i="91"/>
  <c r="C32" i="91"/>
  <c r="K98" i="91"/>
  <c r="L94" i="91"/>
  <c r="K90" i="91"/>
  <c r="J86" i="91"/>
  <c r="D83" i="91"/>
  <c r="G79" i="91"/>
  <c r="L75" i="91"/>
  <c r="H72" i="91"/>
  <c r="C69" i="91"/>
  <c r="K65" i="91"/>
  <c r="F62" i="91"/>
  <c r="L58" i="91"/>
  <c r="K55" i="91"/>
  <c r="C53" i="91"/>
  <c r="H50" i="91"/>
  <c r="K47" i="91"/>
  <c r="D45" i="91"/>
  <c r="L45" i="91" s="1"/>
  <c r="E42" i="91"/>
  <c r="K39" i="91"/>
  <c r="E34" i="91"/>
  <c r="J31" i="91"/>
  <c r="E29" i="91"/>
  <c r="E26" i="91"/>
  <c r="D22" i="91"/>
  <c r="I98" i="91"/>
  <c r="I94" i="91"/>
  <c r="I90" i="91"/>
  <c r="I86" i="91"/>
  <c r="C83" i="91"/>
  <c r="E79" i="91"/>
  <c r="K75" i="91"/>
  <c r="G72" i="91"/>
  <c r="L68" i="91"/>
  <c r="J65" i="91"/>
  <c r="D62" i="91"/>
  <c r="K58" i="91"/>
  <c r="J55" i="91"/>
  <c r="L52" i="91"/>
  <c r="D50" i="91"/>
  <c r="J47" i="91"/>
  <c r="K44" i="91"/>
  <c r="C42" i="91"/>
  <c r="H39" i="91"/>
  <c r="K36" i="91"/>
  <c r="D34" i="91"/>
  <c r="L34" i="91" s="1"/>
  <c r="F31" i="91"/>
  <c r="C29" i="91"/>
  <c r="D26" i="91"/>
  <c r="L26" i="91" s="1"/>
  <c r="J97" i="91"/>
  <c r="I93" i="91"/>
  <c r="I89" i="91"/>
  <c r="J85" i="91"/>
  <c r="L81" i="91"/>
  <c r="G78" i="91"/>
  <c r="L74" i="91"/>
  <c r="I71" i="91"/>
  <c r="D68" i="91"/>
  <c r="J64" i="91"/>
  <c r="F61" i="91"/>
  <c r="C58" i="91"/>
  <c r="E55" i="91"/>
  <c r="H52" i="91"/>
  <c r="K49" i="91"/>
  <c r="C47" i="91"/>
  <c r="H44" i="91"/>
  <c r="J41" i="91"/>
  <c r="C39" i="91"/>
  <c r="H36" i="91"/>
  <c r="J33" i="91"/>
  <c r="F97" i="91"/>
  <c r="F93" i="91"/>
  <c r="F89" i="91"/>
  <c r="F85" i="91"/>
  <c r="J81" i="91"/>
  <c r="D78" i="91"/>
  <c r="I74" i="91"/>
  <c r="F71" i="91"/>
  <c r="J67" i="91"/>
  <c r="H64" i="91"/>
  <c r="C61" i="91"/>
  <c r="J57" i="91"/>
  <c r="L54" i="91"/>
  <c r="G52" i="91"/>
  <c r="I49" i="91"/>
  <c r="K46" i="91"/>
  <c r="F44" i="91"/>
  <c r="I41" i="91"/>
  <c r="K38" i="91"/>
  <c r="C36" i="91"/>
  <c r="H33" i="91"/>
  <c r="J30" i="91"/>
  <c r="D23" i="91"/>
  <c r="L23" i="91" s="1"/>
  <c r="C78" i="91"/>
  <c r="I57" i="91"/>
  <c r="G41" i="91"/>
  <c r="L28" i="91"/>
  <c r="F98" i="91"/>
  <c r="G75" i="91"/>
  <c r="I55" i="91"/>
  <c r="E39" i="91"/>
  <c r="C27" i="91"/>
  <c r="H74" i="91"/>
  <c r="E97" i="91"/>
  <c r="J54" i="91"/>
  <c r="H38" i="91"/>
  <c r="I46" i="91"/>
  <c r="D94" i="91"/>
  <c r="L71" i="91"/>
  <c r="I52" i="91"/>
  <c r="J36" i="91"/>
  <c r="C25" i="91"/>
  <c r="G64" i="91"/>
  <c r="C93" i="91"/>
  <c r="D71" i="91"/>
  <c r="E52" i="91"/>
  <c r="J35" i="91"/>
  <c r="C23" i="91"/>
  <c r="L89" i="91"/>
  <c r="I68" i="91"/>
  <c r="L49" i="91"/>
  <c r="K33" i="91"/>
  <c r="H30" i="91"/>
  <c r="C89" i="91"/>
  <c r="I67" i="91"/>
  <c r="G49" i="91"/>
  <c r="F33" i="91"/>
  <c r="E86" i="91"/>
  <c r="D65" i="91"/>
  <c r="G47" i="91"/>
  <c r="D31" i="91"/>
  <c r="E85" i="91"/>
  <c r="L25" i="91"/>
  <c r="G82" i="91"/>
  <c r="J61" i="91"/>
  <c r="I44" i="91"/>
  <c r="I81" i="91"/>
  <c r="L60" i="91"/>
  <c r="L78" i="91"/>
  <c r="G58" i="91"/>
  <c r="H23" i="37"/>
  <c r="H24" i="48"/>
  <c r="F34" i="48"/>
  <c r="H37" i="48"/>
  <c r="F26" i="50"/>
  <c r="H57" i="37"/>
  <c r="H60" i="37"/>
  <c r="H30" i="37"/>
  <c r="F29" i="40"/>
  <c r="F20" i="42"/>
  <c r="F17" i="42"/>
  <c r="F16" i="42"/>
  <c r="F19" i="42"/>
  <c r="F22" i="42"/>
  <c r="H37" i="37"/>
  <c r="F18" i="42"/>
  <c r="F59" i="37"/>
  <c r="F25" i="40"/>
  <c r="H41" i="48"/>
  <c r="H23" i="48"/>
  <c r="H40" i="48"/>
  <c r="H22" i="48"/>
  <c r="H28" i="48"/>
  <c r="H16" i="48"/>
  <c r="H38" i="48"/>
  <c r="H20" i="48"/>
  <c r="H26" i="48"/>
  <c r="H14" i="48"/>
  <c r="H42" i="48" s="1"/>
  <c r="H19" i="48"/>
  <c r="H27" i="48"/>
  <c r="F20" i="48"/>
  <c r="F39" i="48"/>
  <c r="F17" i="48"/>
  <c r="H22" i="37"/>
  <c r="H30" i="50"/>
  <c r="H30" i="48"/>
  <c r="F15" i="48"/>
  <c r="F42" i="48" s="1"/>
  <c r="E20" i="69"/>
  <c r="F17" i="50"/>
  <c r="F30" i="50" s="1"/>
  <c r="H29" i="48"/>
  <c r="H31" i="48"/>
  <c r="F20" i="50"/>
  <c r="F27" i="47"/>
  <c r="F14" i="47"/>
  <c r="F17" i="47"/>
  <c r="F23" i="47"/>
  <c r="F26" i="47"/>
  <c r="F18" i="47"/>
  <c r="F21" i="47"/>
  <c r="F24" i="47"/>
  <c r="F20" i="47"/>
  <c r="F15" i="47"/>
  <c r="F46" i="37"/>
  <c r="F47" i="37"/>
  <c r="F40" i="37"/>
  <c r="F33" i="37"/>
  <c r="F16" i="37"/>
  <c r="F61" i="37"/>
  <c r="F28" i="37"/>
  <c r="F64" i="37"/>
  <c r="F49" i="37"/>
  <c r="F31" i="37"/>
  <c r="F56" i="37"/>
  <c r="F34" i="37"/>
  <c r="F20" i="37"/>
  <c r="F43" i="37"/>
  <c r="E69" i="37"/>
  <c r="F58" i="37"/>
  <c r="F62" i="37"/>
  <c r="F24" i="37"/>
  <c r="F15" i="37"/>
  <c r="F52" i="37"/>
  <c r="F37" i="37"/>
  <c r="F27" i="37"/>
  <c r="F19" i="37"/>
  <c r="F60" i="37"/>
  <c r="F51" i="37"/>
  <c r="F14" i="37"/>
  <c r="F30" i="37"/>
  <c r="F17" i="37"/>
  <c r="F22" i="37"/>
  <c r="F44" i="37"/>
  <c r="F55" i="37"/>
  <c r="F25" i="37"/>
  <c r="H16" i="37"/>
  <c r="F36" i="37"/>
  <c r="H27" i="37"/>
  <c r="F36" i="40"/>
  <c r="F35" i="40"/>
  <c r="H44" i="37"/>
  <c r="H55" i="37"/>
  <c r="F48" i="37"/>
  <c r="J35" i="84"/>
  <c r="F37" i="48"/>
  <c r="F29" i="50"/>
  <c r="H63" i="37"/>
  <c r="H38" i="37"/>
  <c r="F35" i="48"/>
  <c r="L35" i="84"/>
  <c r="N52" i="84"/>
  <c r="F27" i="48"/>
  <c r="F25" i="48"/>
  <c r="F22" i="48"/>
  <c r="F30" i="48"/>
  <c r="F28" i="48"/>
  <c r="F24" i="48"/>
  <c r="I20" i="69"/>
  <c r="I19" i="69"/>
  <c r="I15" i="69"/>
  <c r="I21" i="69" s="1"/>
  <c r="I17" i="69"/>
  <c r="I18" i="69"/>
  <c r="I16" i="69"/>
  <c r="H16" i="41"/>
  <c r="F16" i="41"/>
  <c r="E17" i="41"/>
  <c r="K101" i="86"/>
  <c r="I100" i="86"/>
  <c r="G99" i="86"/>
  <c r="E98" i="86"/>
  <c r="F101" i="86"/>
  <c r="C100" i="86"/>
  <c r="J98" i="86"/>
  <c r="G97" i="86"/>
  <c r="E96" i="86"/>
  <c r="C95" i="86"/>
  <c r="K93" i="86"/>
  <c r="I92" i="86"/>
  <c r="G91" i="86"/>
  <c r="E90" i="86"/>
  <c r="C89" i="86"/>
  <c r="K87" i="86"/>
  <c r="I86" i="86"/>
  <c r="G85" i="86"/>
  <c r="E84" i="86"/>
  <c r="C83" i="86"/>
  <c r="K81" i="86"/>
  <c r="I80" i="86"/>
  <c r="G79" i="86"/>
  <c r="E78" i="86"/>
  <c r="C77" i="86"/>
  <c r="K75" i="86"/>
  <c r="I74" i="86"/>
  <c r="G73" i="86"/>
  <c r="E72" i="86"/>
  <c r="C71" i="86"/>
  <c r="K69" i="86"/>
  <c r="I68" i="86"/>
  <c r="D101" i="86"/>
  <c r="K99" i="86"/>
  <c r="H98" i="86"/>
  <c r="E97" i="86"/>
  <c r="C96" i="86"/>
  <c r="K94" i="86"/>
  <c r="I93" i="86"/>
  <c r="G92" i="86"/>
  <c r="E91" i="86"/>
  <c r="C90" i="86"/>
  <c r="K88" i="86"/>
  <c r="I87" i="86"/>
  <c r="G86" i="86"/>
  <c r="E85" i="86"/>
  <c r="C84" i="86"/>
  <c r="K82" i="86"/>
  <c r="I81" i="86"/>
  <c r="G80" i="86"/>
  <c r="E79" i="86"/>
  <c r="C78" i="86"/>
  <c r="K76" i="86"/>
  <c r="I75" i="86"/>
  <c r="G74" i="86"/>
  <c r="E73" i="86"/>
  <c r="C72" i="86"/>
  <c r="K70" i="86"/>
  <c r="I69" i="86"/>
  <c r="G68" i="86"/>
  <c r="E67" i="86"/>
  <c r="C66" i="86"/>
  <c r="K64" i="86"/>
  <c r="I63" i="86"/>
  <c r="G62" i="86"/>
  <c r="E61" i="86"/>
  <c r="C60" i="86"/>
  <c r="K58" i="86"/>
  <c r="I57" i="86"/>
  <c r="G56" i="86"/>
  <c r="E55" i="86"/>
  <c r="C54" i="86"/>
  <c r="K52" i="86"/>
  <c r="I51" i="86"/>
  <c r="G50" i="86"/>
  <c r="E49" i="86"/>
  <c r="C48" i="86"/>
  <c r="G44" i="86"/>
  <c r="E43" i="86"/>
  <c r="J43" i="86" s="1"/>
  <c r="C42" i="86"/>
  <c r="H42" i="86" s="1"/>
  <c r="G38" i="86"/>
  <c r="L38" i="86" s="1"/>
  <c r="E37" i="86"/>
  <c r="C36" i="86"/>
  <c r="L36" i="91" s="1"/>
  <c r="G32" i="86"/>
  <c r="E31" i="86"/>
  <c r="C30" i="86"/>
  <c r="G26" i="86"/>
  <c r="E25" i="86"/>
  <c r="J25" i="86" s="1"/>
  <c r="C24" i="86"/>
  <c r="H24" i="86" s="1"/>
  <c r="K100" i="86"/>
  <c r="H99" i="86"/>
  <c r="D98" i="86"/>
  <c r="L96" i="86"/>
  <c r="J95" i="86"/>
  <c r="H94" i="86"/>
  <c r="F93" i="86"/>
  <c r="D92" i="86"/>
  <c r="L90" i="86"/>
  <c r="J89" i="86"/>
  <c r="H88" i="86"/>
  <c r="F87" i="86"/>
  <c r="D86" i="86"/>
  <c r="L84" i="86"/>
  <c r="J83" i="86"/>
  <c r="H82" i="86"/>
  <c r="F81" i="86"/>
  <c r="D80" i="86"/>
  <c r="L78" i="86"/>
  <c r="J77" i="86"/>
  <c r="H76" i="86"/>
  <c r="F75" i="86"/>
  <c r="D74" i="86"/>
  <c r="L72" i="86"/>
  <c r="J71" i="86"/>
  <c r="H70" i="86"/>
  <c r="F69" i="86"/>
  <c r="D68" i="86"/>
  <c r="L66" i="86"/>
  <c r="J65" i="86"/>
  <c r="H64" i="86"/>
  <c r="F63" i="86"/>
  <c r="D62" i="86"/>
  <c r="L60" i="86"/>
  <c r="J59" i="86"/>
  <c r="H58" i="86"/>
  <c r="F57" i="86"/>
  <c r="D56" i="86"/>
  <c r="L54" i="86"/>
  <c r="J53" i="86"/>
  <c r="H52" i="86"/>
  <c r="F51" i="86"/>
  <c r="D50" i="86"/>
  <c r="L48" i="86"/>
  <c r="F45" i="86"/>
  <c r="H45" i="86" s="1"/>
  <c r="D44" i="86"/>
  <c r="F39" i="86"/>
  <c r="D38" i="86"/>
  <c r="F33" i="86"/>
  <c r="D32" i="86"/>
  <c r="L30" i="86"/>
  <c r="F27" i="86"/>
  <c r="D26" i="86"/>
  <c r="C101" i="86"/>
  <c r="E99" i="86"/>
  <c r="I97" i="86"/>
  <c r="L95" i="86"/>
  <c r="F94" i="86"/>
  <c r="K92" i="86"/>
  <c r="D91" i="86"/>
  <c r="H89" i="86"/>
  <c r="C88" i="86"/>
  <c r="F86" i="86"/>
  <c r="J84" i="86"/>
  <c r="E83" i="86"/>
  <c r="H81" i="86"/>
  <c r="L79" i="86"/>
  <c r="G78" i="86"/>
  <c r="J76" i="86"/>
  <c r="D75" i="86"/>
  <c r="I73" i="86"/>
  <c r="L71" i="86"/>
  <c r="F70" i="86"/>
  <c r="K68" i="86"/>
  <c r="F67" i="86"/>
  <c r="K65" i="86"/>
  <c r="F64" i="86"/>
  <c r="L62" i="86"/>
  <c r="H61" i="86"/>
  <c r="D60" i="86"/>
  <c r="I58" i="86"/>
  <c r="D57" i="86"/>
  <c r="J55" i="86"/>
  <c r="F54" i="86"/>
  <c r="L52" i="86"/>
  <c r="G51" i="86"/>
  <c r="L49" i="86"/>
  <c r="D47" i="86"/>
  <c r="E44" i="86"/>
  <c r="J44" i="86" s="1"/>
  <c r="F41" i="86"/>
  <c r="L39" i="86"/>
  <c r="C37" i="86"/>
  <c r="D34" i="86"/>
  <c r="F31" i="86"/>
  <c r="F28" i="86"/>
  <c r="K28" i="86" s="1"/>
  <c r="L100" i="86"/>
  <c r="D99" i="86"/>
  <c r="H97" i="86"/>
  <c r="K95" i="86"/>
  <c r="E94" i="86"/>
  <c r="J92" i="86"/>
  <c r="C91" i="86"/>
  <c r="G89" i="86"/>
  <c r="L87" i="86"/>
  <c r="E86" i="86"/>
  <c r="I84" i="86"/>
  <c r="D83" i="86"/>
  <c r="G81" i="86"/>
  <c r="K79" i="86"/>
  <c r="F78" i="86"/>
  <c r="I76" i="86"/>
  <c r="C75" i="86"/>
  <c r="H73" i="86"/>
  <c r="K71" i="86"/>
  <c r="E70" i="86"/>
  <c r="J68" i="86"/>
  <c r="D67" i="86"/>
  <c r="I65" i="86"/>
  <c r="E64" i="86"/>
  <c r="K62" i="86"/>
  <c r="G61" i="86"/>
  <c r="L59" i="86"/>
  <c r="G58" i="86"/>
  <c r="C57" i="86"/>
  <c r="I55" i="86"/>
  <c r="E54" i="86"/>
  <c r="J52" i="86"/>
  <c r="E51" i="86"/>
  <c r="K49" i="86"/>
  <c r="G48" i="86"/>
  <c r="C47" i="86"/>
  <c r="H47" i="86" s="1"/>
  <c r="C44" i="86"/>
  <c r="L44" i="86" s="1"/>
  <c r="E41" i="86"/>
  <c r="J41" i="86" s="1"/>
  <c r="F38" i="86"/>
  <c r="G35" i="86"/>
  <c r="C34" i="86"/>
  <c r="D31" i="86"/>
  <c r="I29" i="86"/>
  <c r="E28" i="86"/>
  <c r="J28" i="86" s="1"/>
  <c r="G25" i="86"/>
  <c r="G22" i="86"/>
  <c r="H100" i="86"/>
  <c r="L98" i="86"/>
  <c r="D97" i="86"/>
  <c r="H95" i="86"/>
  <c r="C94" i="86"/>
  <c r="F92" i="86"/>
  <c r="J90" i="86"/>
  <c r="E89" i="86"/>
  <c r="H87" i="86"/>
  <c r="L85" i="86"/>
  <c r="G84" i="86"/>
  <c r="J82" i="86"/>
  <c r="D81" i="86"/>
  <c r="I79" i="86"/>
  <c r="L77" i="86"/>
  <c r="F76" i="86"/>
  <c r="K74" i="86"/>
  <c r="D73" i="86"/>
  <c r="H71" i="86"/>
  <c r="C70" i="86"/>
  <c r="F68" i="86"/>
  <c r="K66" i="86"/>
  <c r="G65" i="86"/>
  <c r="C64" i="86"/>
  <c r="I62" i="86"/>
  <c r="D61" i="86"/>
  <c r="I59" i="86"/>
  <c r="E58" i="86"/>
  <c r="K56" i="86"/>
  <c r="G55" i="86"/>
  <c r="L53" i="86"/>
  <c r="G52" i="86"/>
  <c r="C51" i="86"/>
  <c r="I49" i="86"/>
  <c r="E48" i="86"/>
  <c r="J48" i="86" s="1"/>
  <c r="J46" i="86"/>
  <c r="E45" i="86"/>
  <c r="G42" i="86"/>
  <c r="L42" i="86" s="1"/>
  <c r="C41" i="86"/>
  <c r="C38" i="86"/>
  <c r="I36" i="86"/>
  <c r="E35" i="86"/>
  <c r="H35" i="86" s="1"/>
  <c r="F32" i="86"/>
  <c r="K30" i="86"/>
  <c r="G29" i="86"/>
  <c r="C28" i="86"/>
  <c r="H28" i="86" s="1"/>
  <c r="I26" i="86"/>
  <c r="D25" i="86"/>
  <c r="I25" i="86" s="1"/>
  <c r="E22" i="86"/>
  <c r="J22" i="86" s="1"/>
  <c r="G100" i="86"/>
  <c r="K98" i="86"/>
  <c r="C97" i="86"/>
  <c r="G95" i="86"/>
  <c r="L93" i="86"/>
  <c r="E92" i="86"/>
  <c r="I90" i="86"/>
  <c r="D89" i="86"/>
  <c r="G87" i="86"/>
  <c r="K85" i="86"/>
  <c r="F84" i="86"/>
  <c r="I82" i="86"/>
  <c r="C81" i="86"/>
  <c r="H79" i="86"/>
  <c r="K77" i="86"/>
  <c r="E76" i="86"/>
  <c r="J74" i="86"/>
  <c r="C73" i="86"/>
  <c r="G71" i="86"/>
  <c r="L69" i="86"/>
  <c r="E68" i="86"/>
  <c r="J66" i="86"/>
  <c r="F65" i="86"/>
  <c r="L101" i="86"/>
  <c r="E100" i="86"/>
  <c r="G98" i="86"/>
  <c r="J96" i="86"/>
  <c r="E95" i="86"/>
  <c r="H93" i="86"/>
  <c r="L91" i="86"/>
  <c r="G90" i="86"/>
  <c r="J88" i="86"/>
  <c r="D87" i="86"/>
  <c r="I85" i="86"/>
  <c r="L83" i="86"/>
  <c r="F82" i="86"/>
  <c r="K80" i="86"/>
  <c r="D79" i="86"/>
  <c r="H77" i="86"/>
  <c r="C76" i="86"/>
  <c r="F74" i="86"/>
  <c r="J72" i="86"/>
  <c r="E71" i="86"/>
  <c r="H69" i="86"/>
  <c r="L67" i="86"/>
  <c r="H66" i="86"/>
  <c r="D65" i="86"/>
  <c r="J63" i="86"/>
  <c r="E62" i="86"/>
  <c r="J60" i="86"/>
  <c r="F59" i="86"/>
  <c r="L57" i="86"/>
  <c r="H56" i="86"/>
  <c r="C55" i="86"/>
  <c r="H53" i="86"/>
  <c r="D52" i="86"/>
  <c r="J50" i="86"/>
  <c r="F49" i="86"/>
  <c r="F46" i="86"/>
  <c r="K46" i="86" s="1"/>
  <c r="D42" i="86"/>
  <c r="I42" i="86" s="1"/>
  <c r="I40" i="86"/>
  <c r="D39" i="86"/>
  <c r="I39" i="86" s="1"/>
  <c r="J37" i="86"/>
  <c r="F36" i="86"/>
  <c r="K36" i="86" s="1"/>
  <c r="L34" i="86"/>
  <c r="G33" i="86"/>
  <c r="D29" i="86"/>
  <c r="E26" i="86"/>
  <c r="H26" i="86" s="1"/>
  <c r="F23" i="86"/>
  <c r="K23" i="86" s="1"/>
  <c r="H101" i="86"/>
  <c r="J99" i="86"/>
  <c r="L97" i="86"/>
  <c r="G96" i="86"/>
  <c r="J94" i="86"/>
  <c r="D93" i="86"/>
  <c r="I91" i="86"/>
  <c r="L89" i="86"/>
  <c r="F88" i="86"/>
  <c r="K86" i="86"/>
  <c r="D85" i="86"/>
  <c r="H83" i="86"/>
  <c r="C82" i="86"/>
  <c r="F80" i="86"/>
  <c r="J78" i="86"/>
  <c r="E77" i="86"/>
  <c r="H75" i="86"/>
  <c r="L73" i="86"/>
  <c r="G72" i="86"/>
  <c r="J70" i="86"/>
  <c r="D69" i="86"/>
  <c r="I67" i="86"/>
  <c r="E66" i="86"/>
  <c r="J64" i="86"/>
  <c r="E63" i="86"/>
  <c r="K61" i="86"/>
  <c r="G60" i="86"/>
  <c r="C59" i="86"/>
  <c r="H57" i="86"/>
  <c r="C56" i="86"/>
  <c r="I54" i="86"/>
  <c r="E53" i="86"/>
  <c r="K51" i="86"/>
  <c r="F50" i="86"/>
  <c r="K48" i="86"/>
  <c r="G47" i="86"/>
  <c r="L47" i="86" s="1"/>
  <c r="C46" i="86"/>
  <c r="H46" i="86" s="1"/>
  <c r="I44" i="86"/>
  <c r="D43" i="86"/>
  <c r="I43" i="86" s="1"/>
  <c r="E40" i="86"/>
  <c r="K38" i="86"/>
  <c r="G37" i="86"/>
  <c r="L35" i="86"/>
  <c r="G34" i="86"/>
  <c r="C33" i="86"/>
  <c r="H33" i="86" s="1"/>
  <c r="I31" i="86"/>
  <c r="E30" i="86"/>
  <c r="E27" i="86"/>
  <c r="J27" i="86" s="1"/>
  <c r="G24" i="86"/>
  <c r="L24" i="86" s="1"/>
  <c r="C23" i="86"/>
  <c r="G101" i="86"/>
  <c r="I99" i="86"/>
  <c r="K97" i="86"/>
  <c r="F96" i="86"/>
  <c r="I94" i="86"/>
  <c r="C93" i="86"/>
  <c r="H91" i="86"/>
  <c r="K89" i="86"/>
  <c r="E88" i="86"/>
  <c r="J86" i="86"/>
  <c r="C85" i="86"/>
  <c r="G83" i="86"/>
  <c r="L81" i="86"/>
  <c r="E80" i="86"/>
  <c r="I78" i="86"/>
  <c r="D77" i="86"/>
  <c r="G75" i="86"/>
  <c r="J100" i="86"/>
  <c r="I96" i="86"/>
  <c r="L92" i="86"/>
  <c r="L88" i="86"/>
  <c r="F85" i="86"/>
  <c r="E81" i="86"/>
  <c r="G77" i="86"/>
  <c r="K73" i="86"/>
  <c r="I70" i="86"/>
  <c r="H67" i="86"/>
  <c r="I64" i="86"/>
  <c r="C62" i="86"/>
  <c r="H59" i="86"/>
  <c r="E57" i="86"/>
  <c r="J54" i="86"/>
  <c r="E52" i="86"/>
  <c r="J49" i="86"/>
  <c r="F47" i="86"/>
  <c r="K47" i="86" s="1"/>
  <c r="F42" i="86"/>
  <c r="C40" i="86"/>
  <c r="H40" i="86" s="1"/>
  <c r="C35" i="86"/>
  <c r="D30" i="86"/>
  <c r="I30" i="86" s="1"/>
  <c r="E23" i="86"/>
  <c r="H23" i="86" s="1"/>
  <c r="F100" i="86"/>
  <c r="H96" i="86"/>
  <c r="H92" i="86"/>
  <c r="I88" i="86"/>
  <c r="K84" i="86"/>
  <c r="L80" i="86"/>
  <c r="F77" i="86"/>
  <c r="J73" i="86"/>
  <c r="G70" i="86"/>
  <c r="G67" i="86"/>
  <c r="G64" i="86"/>
  <c r="L61" i="86"/>
  <c r="G59" i="86"/>
  <c r="L56" i="86"/>
  <c r="H54" i="86"/>
  <c r="C52" i="86"/>
  <c r="H49" i="86"/>
  <c r="E47" i="86"/>
  <c r="J47" i="86" s="1"/>
  <c r="E42" i="86"/>
  <c r="J42" i="86" s="1"/>
  <c r="J39" i="86"/>
  <c r="F37" i="86"/>
  <c r="K37" i="86" s="1"/>
  <c r="J34" i="86"/>
  <c r="E32" i="86"/>
  <c r="J32" i="86" s="1"/>
  <c r="L29" i="86"/>
  <c r="G27" i="86"/>
  <c r="F25" i="86"/>
  <c r="K25" i="86" s="1"/>
  <c r="D23" i="86"/>
  <c r="I23" i="86" s="1"/>
  <c r="D100" i="86"/>
  <c r="C92" i="86"/>
  <c r="G88" i="86"/>
  <c r="H84" i="86"/>
  <c r="J80" i="86"/>
  <c r="L76" i="86"/>
  <c r="F73" i="86"/>
  <c r="C67" i="86"/>
  <c r="D64" i="86"/>
  <c r="J61" i="86"/>
  <c r="E59" i="86"/>
  <c r="G54" i="86"/>
  <c r="L51" i="86"/>
  <c r="G49" i="86"/>
  <c r="L41" i="86"/>
  <c r="G39" i="86"/>
  <c r="I34" i="86"/>
  <c r="C32" i="86"/>
  <c r="L32" i="86" s="1"/>
  <c r="D27" i="86"/>
  <c r="I27" i="86" s="1"/>
  <c r="C25" i="86"/>
  <c r="H25" i="86" s="1"/>
  <c r="D94" i="86"/>
  <c r="D96" i="86"/>
  <c r="D70" i="86"/>
  <c r="J56" i="86"/>
  <c r="D37" i="86"/>
  <c r="H29" i="86"/>
  <c r="F90" i="86"/>
  <c r="G82" i="86"/>
  <c r="L74" i="86"/>
  <c r="H68" i="86"/>
  <c r="L99" i="86"/>
  <c r="I95" i="86"/>
  <c r="K91" i="86"/>
  <c r="D88" i="86"/>
  <c r="D84" i="86"/>
  <c r="H80" i="86"/>
  <c r="G76" i="86"/>
  <c r="K72" i="86"/>
  <c r="J69" i="86"/>
  <c r="I66" i="86"/>
  <c r="L63" i="86"/>
  <c r="I61" i="86"/>
  <c r="D59" i="86"/>
  <c r="I56" i="86"/>
  <c r="D54" i="86"/>
  <c r="J51" i="86"/>
  <c r="D49" i="86"/>
  <c r="F44" i="86"/>
  <c r="K44" i="86" s="1"/>
  <c r="K41" i="86"/>
  <c r="E39" i="86"/>
  <c r="J36" i="86"/>
  <c r="F34" i="86"/>
  <c r="K34" i="86" s="1"/>
  <c r="F29" i="86"/>
  <c r="K29" i="86" s="1"/>
  <c r="C27" i="86"/>
  <c r="L27" i="86" s="1"/>
  <c r="H86" i="86"/>
  <c r="F99" i="86"/>
  <c r="F95" i="86"/>
  <c r="J91" i="86"/>
  <c r="J87" i="86"/>
  <c r="K83" i="86"/>
  <c r="C80" i="86"/>
  <c r="D76" i="86"/>
  <c r="I72" i="86"/>
  <c r="G69" i="86"/>
  <c r="G66" i="86"/>
  <c r="K63" i="86"/>
  <c r="F61" i="86"/>
  <c r="L58" i="86"/>
  <c r="F56" i="86"/>
  <c r="K53" i="86"/>
  <c r="H51" i="86"/>
  <c r="C49" i="86"/>
  <c r="G46" i="86"/>
  <c r="L46" i="86" s="1"/>
  <c r="C39" i="86"/>
  <c r="K39" i="86" s="1"/>
  <c r="E34" i="86"/>
  <c r="E29" i="86"/>
  <c r="L26" i="86"/>
  <c r="C99" i="86"/>
  <c r="D95" i="86"/>
  <c r="F91" i="86"/>
  <c r="E87" i="86"/>
  <c r="I83" i="86"/>
  <c r="J79" i="86"/>
  <c r="L75" i="86"/>
  <c r="H72" i="86"/>
  <c r="E69" i="86"/>
  <c r="F66" i="86"/>
  <c r="H63" i="86"/>
  <c r="C61" i="86"/>
  <c r="J58" i="86"/>
  <c r="E56" i="86"/>
  <c r="I53" i="86"/>
  <c r="D51" i="86"/>
  <c r="E46" i="86"/>
  <c r="G41" i="86"/>
  <c r="G36" i="86"/>
  <c r="L36" i="86" s="1"/>
  <c r="L33" i="86"/>
  <c r="H31" i="86"/>
  <c r="C29" i="86"/>
  <c r="J29" i="86" s="1"/>
  <c r="J26" i="86"/>
  <c r="F22" i="86"/>
  <c r="K22" i="86" s="1"/>
  <c r="C98" i="86"/>
  <c r="K78" i="86"/>
  <c r="I98" i="86"/>
  <c r="L94" i="86"/>
  <c r="K90" i="86"/>
  <c r="C87" i="86"/>
  <c r="F83" i="86"/>
  <c r="F79" i="86"/>
  <c r="J75" i="86"/>
  <c r="F72" i="86"/>
  <c r="C69" i="86"/>
  <c r="D66" i="86"/>
  <c r="G63" i="86"/>
  <c r="K60" i="86"/>
  <c r="F58" i="86"/>
  <c r="L55" i="86"/>
  <c r="G53" i="86"/>
  <c r="L50" i="86"/>
  <c r="I48" i="86"/>
  <c r="D46" i="86"/>
  <c r="I46" i="86" s="1"/>
  <c r="D41" i="86"/>
  <c r="I41" i="86" s="1"/>
  <c r="E36" i="86"/>
  <c r="G31" i="86"/>
  <c r="L31" i="86" s="1"/>
  <c r="F24" i="86"/>
  <c r="D22" i="86"/>
  <c r="F98" i="86"/>
  <c r="G94" i="86"/>
  <c r="H90" i="86"/>
  <c r="L86" i="86"/>
  <c r="L82" i="86"/>
  <c r="C79" i="86"/>
  <c r="E75" i="86"/>
  <c r="D72" i="86"/>
  <c r="L68" i="86"/>
  <c r="L65" i="86"/>
  <c r="D63" i="86"/>
  <c r="I60" i="86"/>
  <c r="D58" i="86"/>
  <c r="K55" i="86"/>
  <c r="F53" i="86"/>
  <c r="K50" i="86"/>
  <c r="F48" i="86"/>
  <c r="G43" i="86"/>
  <c r="L43" i="86" s="1"/>
  <c r="I38" i="86"/>
  <c r="D36" i="86"/>
  <c r="H36" i="86" s="1"/>
  <c r="C31" i="86"/>
  <c r="K31" i="86" s="1"/>
  <c r="I28" i="86"/>
  <c r="F26" i="86"/>
  <c r="K26" i="86" s="1"/>
  <c r="E24" i="86"/>
  <c r="C22" i="86"/>
  <c r="L22" i="86" s="1"/>
  <c r="J101" i="86"/>
  <c r="J97" i="86"/>
  <c r="J93" i="86"/>
  <c r="D90" i="86"/>
  <c r="C86" i="86"/>
  <c r="E82" i="86"/>
  <c r="H78" i="86"/>
  <c r="H74" i="86"/>
  <c r="F71" i="86"/>
  <c r="C68" i="86"/>
  <c r="E65" i="86"/>
  <c r="J62" i="86"/>
  <c r="F60" i="86"/>
  <c r="K57" i="86"/>
  <c r="F55" i="86"/>
  <c r="C53" i="86"/>
  <c r="H50" i="86"/>
  <c r="G45" i="86"/>
  <c r="C43" i="86"/>
  <c r="H43" i="86" s="1"/>
  <c r="G40" i="86"/>
  <c r="L40" i="86" s="1"/>
  <c r="L37" i="86"/>
  <c r="I35" i="86"/>
  <c r="D33" i="86"/>
  <c r="I33" i="86" s="1"/>
  <c r="D28" i="86"/>
  <c r="L25" i="86"/>
  <c r="I101" i="86"/>
  <c r="F97" i="86"/>
  <c r="G93" i="86"/>
  <c r="I89" i="86"/>
  <c r="J85" i="86"/>
  <c r="D82" i="86"/>
  <c r="D78" i="86"/>
  <c r="E74" i="86"/>
  <c r="D71" i="86"/>
  <c r="K67" i="86"/>
  <c r="C65" i="86"/>
  <c r="H62" i="86"/>
  <c r="E60" i="86"/>
  <c r="J57" i="86"/>
  <c r="D55" i="86"/>
  <c r="I52" i="86"/>
  <c r="E50" i="86"/>
  <c r="I47" i="86"/>
  <c r="D45" i="86"/>
  <c r="I45" i="86" s="1"/>
  <c r="K42" i="86"/>
  <c r="F40" i="86"/>
  <c r="K40" i="86" s="1"/>
  <c r="F35" i="86"/>
  <c r="K35" i="86" s="1"/>
  <c r="G30" i="86"/>
  <c r="E101" i="86"/>
  <c r="K96" i="86"/>
  <c r="E93" i="86"/>
  <c r="F89" i="86"/>
  <c r="H85" i="86"/>
  <c r="J81" i="86"/>
  <c r="I77" i="86"/>
  <c r="C74" i="86"/>
  <c r="L70" i="86"/>
  <c r="J67" i="86"/>
  <c r="L64" i="86"/>
  <c r="F62" i="86"/>
  <c r="K59" i="86"/>
  <c r="G57" i="86"/>
  <c r="K54" i="86"/>
  <c r="F52" i="86"/>
  <c r="C50" i="86"/>
  <c r="C45" i="86"/>
  <c r="L45" i="86" s="1"/>
  <c r="D40" i="86"/>
  <c r="I37" i="86"/>
  <c r="D35" i="86"/>
  <c r="K32" i="86"/>
  <c r="D24" i="86"/>
  <c r="F43" i="86"/>
  <c r="K43" i="86" s="1"/>
  <c r="G23" i="86"/>
  <c r="L23" i="86" s="1"/>
  <c r="J40" i="86"/>
  <c r="I71" i="86"/>
  <c r="E38" i="86"/>
  <c r="H38" i="86" s="1"/>
  <c r="C63" i="86"/>
  <c r="H55" i="86"/>
  <c r="H65" i="86"/>
  <c r="E33" i="86"/>
  <c r="J33" i="86" s="1"/>
  <c r="G28" i="86"/>
  <c r="L28" i="86" s="1"/>
  <c r="K27" i="86"/>
  <c r="H60" i="86"/>
  <c r="J30" i="86"/>
  <c r="C58" i="86"/>
  <c r="F30" i="86"/>
  <c r="D53" i="86"/>
  <c r="I50" i="86"/>
  <c r="C26" i="86"/>
  <c r="D48" i="86"/>
  <c r="H48" i="86" s="1"/>
  <c r="H6" i="89"/>
  <c r="H6" i="83"/>
  <c r="H6" i="90"/>
  <c r="J6" i="82"/>
  <c r="H6" i="79"/>
  <c r="H6" i="71"/>
  <c r="J6" i="72"/>
  <c r="H6" i="47"/>
  <c r="H6" i="67"/>
  <c r="H6" i="49"/>
  <c r="H6" i="50"/>
  <c r="H6" i="46"/>
  <c r="H6" i="48"/>
  <c r="H6" i="42"/>
  <c r="H6" i="61"/>
  <c r="I6" i="78"/>
  <c r="H6" i="41"/>
  <c r="H6" i="69"/>
  <c r="H6" i="44"/>
  <c r="H6" i="66"/>
  <c r="H6" i="43"/>
  <c r="H6" i="84"/>
  <c r="H6" i="65"/>
  <c r="H6" i="64"/>
  <c r="H6" i="63"/>
  <c r="H6" i="62"/>
  <c r="H6" i="40"/>
  <c r="H6" i="37"/>
  <c r="H6" i="85"/>
  <c r="H6" i="86"/>
  <c r="H6" i="87"/>
  <c r="H6" i="92"/>
  <c r="H6" i="70"/>
  <c r="J6" i="56"/>
  <c r="H6" i="91"/>
  <c r="H6" i="57"/>
  <c r="F21" i="69"/>
  <c r="G14" i="69" s="1"/>
  <c r="H20" i="47"/>
  <c r="H16" i="47"/>
  <c r="H19" i="47"/>
  <c r="H17" i="47"/>
  <c r="H15" i="47"/>
  <c r="H21" i="47"/>
  <c r="H25" i="47"/>
  <c r="H22" i="47"/>
  <c r="H26" i="47"/>
  <c r="F18" i="48"/>
  <c r="F26" i="48"/>
  <c r="H14" i="43"/>
  <c r="H16" i="43" s="1"/>
  <c r="H15" i="43"/>
  <c r="H39" i="48"/>
  <c r="F21" i="48"/>
  <c r="H43" i="37"/>
  <c r="H21" i="37"/>
  <c r="F24" i="42"/>
  <c r="H36" i="48"/>
  <c r="H34" i="48"/>
  <c r="H14" i="47"/>
  <c r="F48" i="40"/>
  <c r="F23" i="37"/>
  <c r="H18" i="47"/>
  <c r="F15" i="42"/>
  <c r="F31" i="42" s="1"/>
  <c r="F42" i="40"/>
  <c r="F53" i="37"/>
  <c r="H51" i="37"/>
  <c r="H49" i="40"/>
  <c r="H41" i="40"/>
  <c r="H32" i="40"/>
  <c r="H23" i="40"/>
  <c r="H16" i="40"/>
  <c r="H55" i="40" s="1"/>
  <c r="H19" i="40"/>
  <c r="H40" i="40"/>
  <c r="H46" i="40"/>
  <c r="H20" i="40"/>
  <c r="H47" i="40"/>
  <c r="H17" i="40"/>
  <c r="H52" i="40"/>
  <c r="H43" i="40"/>
  <c r="H34" i="40"/>
  <c r="D52" i="84"/>
  <c r="C33" i="84"/>
  <c r="J34" i="84" s="1"/>
  <c r="D35" i="84"/>
  <c r="J52" i="84"/>
  <c r="H47" i="37"/>
  <c r="F38" i="85"/>
  <c r="F16" i="48"/>
  <c r="E17" i="69"/>
  <c r="E15" i="69"/>
  <c r="E21" i="69" s="1"/>
  <c r="E19" i="69"/>
  <c r="F32" i="48"/>
  <c r="H18" i="48"/>
  <c r="H21" i="48"/>
  <c r="F15" i="44"/>
  <c r="F16" i="44" s="1"/>
  <c r="H41" i="37"/>
  <c r="H35" i="37"/>
  <c r="F18" i="70"/>
  <c r="H4" i="70"/>
  <c r="J18" i="70" s="1"/>
  <c r="J17" i="70" s="1"/>
  <c r="L40" i="91" l="1"/>
  <c r="L41" i="91"/>
  <c r="L17" i="91"/>
  <c r="F42" i="85" s="1"/>
  <c r="L43" i="91"/>
  <c r="L29" i="91"/>
  <c r="L37" i="91"/>
  <c r="L30" i="91"/>
  <c r="H31" i="42"/>
  <c r="H17" i="41"/>
  <c r="E18" i="41"/>
  <c r="F17" i="41"/>
  <c r="G17" i="41" s="1"/>
  <c r="H65" i="37"/>
  <c r="L22" i="91"/>
  <c r="I22" i="86"/>
  <c r="H27" i="86"/>
  <c r="K33" i="86"/>
  <c r="G16" i="41"/>
  <c r="L27" i="91"/>
  <c r="F17" i="70"/>
  <c r="F34" i="70"/>
  <c r="K45" i="86"/>
  <c r="J24" i="86"/>
  <c r="H32" i="86"/>
  <c r="J45" i="86"/>
  <c r="J35" i="86"/>
  <c r="F29" i="49"/>
  <c r="H44" i="86"/>
  <c r="H22" i="86"/>
  <c r="J31" i="86"/>
  <c r="H37" i="86"/>
  <c r="H39" i="86"/>
  <c r="I32" i="86"/>
  <c r="J23" i="86"/>
  <c r="C35" i="84"/>
  <c r="F36" i="70" s="1"/>
  <c r="F34" i="84"/>
  <c r="C42" i="57"/>
  <c r="C24" i="57"/>
  <c r="C33" i="57"/>
  <c r="C25" i="57"/>
  <c r="H34" i="84"/>
  <c r="N34" i="84"/>
  <c r="H28" i="47"/>
  <c r="D34" i="84"/>
  <c r="J6" i="66"/>
  <c r="J6" i="65"/>
  <c r="L6" i="82"/>
  <c r="J6" i="71"/>
  <c r="J6" i="79"/>
  <c r="N6" i="72"/>
  <c r="N6" i="78"/>
  <c r="J6" i="67"/>
  <c r="J6" i="42"/>
  <c r="J6" i="69"/>
  <c r="J6" i="50"/>
  <c r="J6" i="83"/>
  <c r="J6" i="84"/>
  <c r="M6" i="89"/>
  <c r="J6" i="64"/>
  <c r="J6" i="48"/>
  <c r="J6" i="49"/>
  <c r="J6" i="90"/>
  <c r="J6" i="62"/>
  <c r="J6" i="43"/>
  <c r="J6" i="63"/>
  <c r="J6" i="41"/>
  <c r="J6" i="47"/>
  <c r="J6" i="40"/>
  <c r="J6" i="44"/>
  <c r="J6" i="46"/>
  <c r="J6" i="37"/>
  <c r="J6" i="87"/>
  <c r="J6" i="61"/>
  <c r="J6" i="91"/>
  <c r="J6" i="92"/>
  <c r="J6" i="85"/>
  <c r="J6" i="86"/>
  <c r="J6" i="70"/>
  <c r="J6" i="57"/>
  <c r="H30" i="86"/>
  <c r="F28" i="47"/>
  <c r="K24" i="86"/>
  <c r="G18" i="69"/>
  <c r="G17" i="69"/>
  <c r="G15" i="69"/>
  <c r="G21" i="69" s="1"/>
  <c r="G16" i="69"/>
  <c r="G19" i="69"/>
  <c r="G20" i="69"/>
  <c r="H34" i="86"/>
  <c r="L34" i="84"/>
  <c r="F65" i="37"/>
  <c r="L31" i="91"/>
  <c r="I24" i="86"/>
  <c r="H41" i="86"/>
  <c r="F55" i="40"/>
  <c r="J38" i="86"/>
  <c r="E19" i="41" l="1"/>
  <c r="F18" i="41"/>
  <c r="H18" i="41"/>
  <c r="G18" i="41" l="1"/>
  <c r="H19" i="41"/>
  <c r="F19" i="41"/>
  <c r="G19" i="41" s="1"/>
  <c r="E20" i="41"/>
  <c r="E21" i="41" l="1"/>
  <c r="H20" i="41"/>
  <c r="F20" i="41"/>
  <c r="G20" i="41" s="1"/>
  <c r="E22" i="41" l="1"/>
  <c r="F21" i="41"/>
  <c r="G21" i="41" s="1"/>
  <c r="H21" i="41"/>
  <c r="H22" i="41" l="1"/>
  <c r="E23" i="41"/>
  <c r="F22" i="41"/>
  <c r="G22" i="41" s="1"/>
  <c r="E24" i="41" l="1"/>
  <c r="F23" i="41"/>
  <c r="G23" i="41" s="1"/>
  <c r="H23" i="41"/>
  <c r="F24" i="41" l="1"/>
  <c r="G24" i="41" s="1"/>
  <c r="H24" i="41"/>
  <c r="E25" i="41"/>
  <c r="H25" i="41" l="1"/>
  <c r="E26" i="41"/>
  <c r="F25" i="41"/>
  <c r="G25" i="41" s="1"/>
  <c r="E27" i="41" l="1"/>
  <c r="H26" i="41"/>
  <c r="F26" i="41"/>
  <c r="G26" i="41" s="1"/>
  <c r="F27" i="41" l="1"/>
  <c r="G27" i="41" s="1"/>
  <c r="E28" i="41"/>
  <c r="H27" i="41"/>
  <c r="H28" i="41" l="1"/>
  <c r="F28" i="41"/>
  <c r="G28" i="41" s="1"/>
  <c r="E29" i="41"/>
  <c r="E30" i="41" l="1"/>
  <c r="H29" i="41"/>
  <c r="F29" i="41"/>
  <c r="G29" i="41" s="1"/>
  <c r="H30" i="41" l="1"/>
  <c r="E31" i="41"/>
  <c r="F30" i="41"/>
  <c r="G30" i="41" s="1"/>
  <c r="H31" i="41" l="1"/>
  <c r="F31" i="41"/>
  <c r="G31" i="41" s="1"/>
  <c r="E32" i="41"/>
  <c r="F32" i="41" l="1"/>
  <c r="G32" i="41" s="1"/>
  <c r="E33" i="41"/>
  <c r="H32" i="41"/>
  <c r="E34" i="41" l="1"/>
  <c r="H33" i="41"/>
  <c r="F33" i="41"/>
  <c r="G33" i="41" s="1"/>
  <c r="H34" i="41" l="1"/>
  <c r="E35" i="41"/>
  <c r="F34" i="41"/>
  <c r="G34" i="41" s="1"/>
  <c r="F35" i="41" l="1"/>
  <c r="G35" i="41" s="1"/>
  <c r="E36" i="41"/>
  <c r="H35" i="41"/>
  <c r="E37" i="41" l="1"/>
  <c r="H36" i="41"/>
  <c r="F36" i="41"/>
  <c r="G36" i="41" s="1"/>
  <c r="H37" i="41" l="1"/>
  <c r="F37" i="41"/>
  <c r="G37" i="41" s="1"/>
  <c r="E38" i="41"/>
  <c r="H38" i="41" l="1"/>
  <c r="H39" i="41" s="1"/>
  <c r="F38" i="41"/>
  <c r="G38" i="41" l="1"/>
  <c r="G39" i="41" s="1"/>
  <c r="F39" i="41"/>
</calcChain>
</file>

<file path=xl/sharedStrings.xml><?xml version="1.0" encoding="utf-8"?>
<sst xmlns="http://schemas.openxmlformats.org/spreadsheetml/2006/main" count="2910" uniqueCount="1662">
  <si>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</si>
  <si>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</si>
  <si>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</si>
  <si>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</si>
  <si>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</si>
  <si>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</si>
  <si>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</si>
  <si>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</si>
  <si>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</si>
  <si>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</si>
  <si>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</si>
  <si>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</si>
  <si>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</si>
  <si>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</si>
  <si>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</si>
  <si>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</si>
  <si>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</si>
  <si>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</si>
  <si>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</si>
  <si>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</si>
  <si>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</si>
  <si>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</si>
  <si>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</si>
  <si>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</si>
  <si>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</si>
  <si>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</si>
  <si>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</si>
  <si>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</si>
  <si>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</si>
  <si>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</si>
  <si>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</si>
  <si>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</si>
  <si>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</si>
  <si>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</si>
  <si>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</si>
  <si>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</si>
  <si>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</si>
  <si>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</si>
  <si>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</si>
  <si>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</si>
  <si>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</si>
  <si>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</si>
  <si>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</si>
  <si>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</si>
  <si>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</si>
  <si>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</si>
  <si>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</si>
  <si>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</si>
  <si>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</si>
  <si>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</si>
  <si>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</si>
  <si>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</si>
  <si>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</si>
  <si>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</si>
  <si>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</si>
  <si>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</si>
  <si>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</si>
  <si>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</si>
  <si>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</si>
  <si>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</si>
  <si>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</si>
  <si>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</si>
  <si>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</si>
  <si>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</si>
  <si>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</si>
  <si>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</si>
  <si>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</si>
  <si>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</si>
  <si>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</si>
  <si>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</si>
  <si>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</si>
  <si>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</si>
  <si>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</si>
  <si>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</si>
  <si>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</si>
  <si>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</si>
  <si>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</si>
  <si>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</si>
  <si>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</si>
  <si>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</si>
  <si>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</si>
  <si>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</si>
  <si>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</si>
  <si>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</si>
  <si>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</si>
  <si>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</si>
  <si>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</si>
  <si>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</si>
  <si>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</si>
  <si>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</si>
  <si>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</si>
  <si>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</si>
  <si>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</si>
  <si>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</si>
  <si>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</si>
  <si>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</si>
  <si>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</si>
  <si>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</si>
  <si>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</si>
  <si>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</si>
  <si>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</si>
  <si>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</si>
  <si>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</si>
  <si>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</si>
  <si>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</si>
  <si>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</si>
  <si>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</si>
  <si>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</si>
  <si>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</si>
  <si>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</si>
  <si>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</si>
  <si>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</si>
  <si>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</si>
  <si>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</si>
  <si>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</si>
  <si>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</si>
  <si>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</si>
  <si>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</si>
  <si>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</si>
  <si>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</si>
  <si>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</si>
  <si>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</si>
  <si>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</si>
  <si>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</si>
  <si>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</si>
  <si>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</si>
  <si>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</si>
  <si>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</si>
  <si>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</si>
  <si>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</si>
  <si>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</si>
  <si>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</si>
  <si>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</si>
  <si>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</si>
  <si>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</si>
  <si>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</si>
  <si>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</si>
  <si>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</si>
  <si>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</si>
  <si>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</si>
  <si>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</si>
  <si>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</si>
  <si>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</si>
  <si>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</si>
  <si>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</si>
  <si>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</si>
  <si>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</si>
  <si>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</si>
  <si>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</si>
  <si>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</si>
  <si>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</si>
  <si>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</si>
  <si>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</si>
  <si>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</si>
  <si>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</si>
  <si>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</si>
  <si>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</si>
  <si>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</si>
  <si>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</si>
  <si>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</si>
  <si>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</si>
  <si>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</si>
  <si>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</si>
  <si>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</si>
  <si>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</si>
  <si>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</si>
  <si>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</si>
  <si>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</si>
  <si>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</si>
  <si>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</si>
  <si>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</si>
  <si>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</si>
  <si>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</si>
  <si>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</si>
  <si>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</si>
  <si>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</si>
  <si>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</si>
  <si>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</si>
  <si>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</si>
  <si>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</si>
  <si>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</si>
  <si>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</si>
  <si>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</si>
  <si>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</si>
  <si>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</si>
  <si>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United Kingdom</t>
  </si>
  <si>
    <t>Counterparty status</t>
  </si>
  <si>
    <t>Data Trustee:</t>
  </si>
  <si>
    <t>Rating Agencies: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</si>
  <si>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</si>
  <si>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</si>
  <si>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</si>
  <si>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</si>
  <si>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</si>
  <si>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</si>
  <si>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</si>
  <si>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</si>
  <si>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</si>
  <si>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</si>
  <si>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</si>
  <si>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</si>
  <si>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</si>
  <si>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</si>
  <si>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</si>
  <si>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</si>
  <si>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</si>
  <si>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</si>
  <si>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</si>
  <si>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</si>
  <si>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</si>
  <si>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</si>
  <si>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</si>
  <si>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</si>
  <si>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</si>
  <si>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</si>
  <si>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</si>
  <si>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</si>
  <si>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</si>
  <si>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</si>
  <si>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</si>
  <si>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</si>
  <si>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</si>
  <si>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</si>
  <si>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</si>
  <si>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</si>
  <si>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</si>
  <si>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</si>
  <si>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</si>
  <si>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</si>
  <si>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</si>
  <si>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</si>
  <si>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</si>
  <si>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</si>
  <si>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</si>
  <si>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</si>
  <si>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</si>
  <si>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</si>
  <si>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</si>
  <si>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</si>
  <si>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</si>
  <si>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Fitch</t>
  </si>
  <si>
    <t>Moody's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</si>
  <si>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</si>
  <si>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</si>
  <si>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</si>
  <si>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</si>
  <si>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</si>
  <si>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</si>
  <si>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</si>
  <si>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</si>
  <si>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</si>
  <si>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</si>
  <si>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</si>
  <si>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</si>
  <si>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</si>
  <si>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</si>
  <si>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</si>
  <si>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</si>
  <si>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Interest Swap Counterparty:</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</si>
  <si>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</si>
  <si>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</si>
  <si>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</si>
  <si>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</si>
  <si>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</si>
  <si>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</si>
  <si>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</si>
  <si>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</si>
  <si>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</si>
  <si>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</si>
  <si>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</si>
  <si>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</si>
  <si>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</si>
  <si>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</si>
  <si>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</si>
  <si>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</si>
  <si>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</si>
  <si>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</si>
  <si>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</si>
  <si>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</si>
  <si>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</si>
  <si>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</si>
  <si>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</si>
  <si>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</si>
  <si>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</si>
  <si>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</si>
  <si>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</si>
  <si>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</si>
  <si>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</si>
  <si>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</si>
  <si>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</si>
  <si>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</si>
  <si>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</si>
  <si>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</si>
  <si>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</si>
  <si>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</si>
  <si>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</si>
  <si>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</si>
  <si>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On or after to Sequential Payment Trigger Event: Redemption Class A</t>
  </si>
  <si>
    <t>Interest on Class D (If Most Senior Note or Class D PDL &lt; 25%)</t>
  </si>
  <si>
    <t>On or after to Sequential Payment Trigger Event: Redemption Class B</t>
  </si>
  <si>
    <t>Interest on Class E (If Most Senior Note or Class E PDL &lt; 25%)</t>
  </si>
  <si>
    <t>On or after to Sequential Payment Trigger Event: Redemption Class C</t>
  </si>
  <si>
    <t>Interest on Class F (If Most Senior Note or Class F PDL &lt; 25%)</t>
  </si>
  <si>
    <t>On or after to Sequential Payment Trigger Event: Redemption Class D</t>
  </si>
  <si>
    <t>On or after to Sequential Payment Trigger Event: Redemption Class E</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</si>
  <si>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</si>
  <si>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</si>
  <si>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</si>
  <si>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</si>
  <si>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</si>
  <si>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</si>
  <si>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</si>
  <si>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</si>
  <si>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</si>
  <si>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</si>
  <si>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</si>
  <si>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</si>
  <si>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</si>
  <si>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</si>
  <si>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</si>
  <si>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</si>
  <si>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 xml:space="preserve">     of which added to Priority of Payments</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</si>
  <si>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</si>
  <si>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</si>
  <si>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</si>
  <si>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</si>
  <si>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</si>
  <si>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</si>
  <si>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</si>
  <si>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</si>
  <si>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</si>
  <si>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</si>
  <si>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</si>
  <si>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</si>
  <si>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</si>
  <si>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</si>
  <si>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</si>
  <si>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</si>
  <si>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</si>
  <si>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</si>
  <si>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</si>
  <si>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</si>
  <si>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</si>
  <si>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</si>
  <si>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</si>
  <si>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</si>
  <si>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</si>
  <si>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</si>
  <si>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</si>
  <si>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</si>
  <si>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</si>
  <si>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</si>
  <si>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</si>
  <si>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</si>
  <si>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</si>
  <si>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</si>
  <si>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</si>
  <si>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</si>
  <si>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</si>
  <si>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</si>
  <si>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</si>
  <si>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</si>
  <si>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</si>
  <si>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</si>
  <si>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</si>
  <si>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</si>
  <si>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</si>
  <si>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</si>
  <si>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</si>
  <si>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</si>
  <si>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</si>
  <si>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</si>
  <si>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</si>
  <si>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</si>
  <si>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</si>
  <si>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</si>
  <si>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</si>
  <si>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</si>
  <si>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</si>
  <si>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</si>
  <si>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</si>
  <si>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</si>
  <si>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</si>
  <si>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</si>
  <si>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</si>
  <si>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Prior to Sequential Payment Trigger Event: Class A Pro Rata- Principal Payment Amount</t>
  </si>
  <si>
    <t>Prior to Sequential Payment Trigger Event: Class B Pro Rata- Principal Payment Amount</t>
  </si>
  <si>
    <t>Prior to Sequential Payment Trigger Event: Class C Pro Rata- Principal Payment Amount</t>
  </si>
  <si>
    <t>Prior to Sequential Payment Trigger Event: Class D Pro Rata- Principal Payment Amount</t>
  </si>
  <si>
    <t>Prior to Sequential Payment Trigger Event: Class E Pro Rata- Principal Payment Amount</t>
  </si>
  <si>
    <t>Collateral, Guarantee
or Replacement</t>
  </si>
  <si>
    <t>A3</t>
  </si>
  <si>
    <t>Baa1</t>
  </si>
  <si>
    <t>A</t>
  </si>
  <si>
    <t>F1</t>
  </si>
  <si>
    <t>BBB-</t>
  </si>
  <si>
    <t>F3</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</si>
  <si>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</si>
  <si>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</si>
  <si>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</si>
  <si>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</si>
  <si>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</si>
  <si>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</si>
  <si>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</si>
  <si>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</si>
  <si>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</si>
  <si>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</si>
  <si>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</si>
  <si>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</si>
  <si>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</si>
  <si>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Moody's Investors Service España, S.A.</t>
  </si>
  <si>
    <t>Set-Off Reserve Required Amount</t>
  </si>
  <si>
    <t>RTG_MDY_LT_CRA</t>
  </si>
  <si>
    <t>Outstanding BOP</t>
  </si>
  <si>
    <t>Oversea FS B.V.</t>
  </si>
  <si>
    <t>The Netherlands</t>
  </si>
  <si>
    <t>Principal Paying Agent, Calculation Agent,</t>
  </si>
  <si>
    <t>Cash Administrator, Interest Determination Agent</t>
  </si>
  <si>
    <t>&amp; Back-Up Servicer Facilitator</t>
  </si>
  <si>
    <t>London E14 5AL</t>
  </si>
  <si>
    <t>Account Bank &amp; Transaction Security Trustee</t>
  </si>
  <si>
    <t xml:space="preserve"> </t>
  </si>
  <si>
    <t>L-2453 Luxembourg</t>
  </si>
  <si>
    <t>Corporate Administrator</t>
  </si>
  <si>
    <t>L-2449 Luxembourg</t>
  </si>
  <si>
    <t>Joint Lead Managers</t>
  </si>
  <si>
    <t>Messe Turm, Friedrich-Ebert-Anlage 49</t>
  </si>
  <si>
    <t>One Canada Square</t>
  </si>
  <si>
    <t>60327 Frankfurt am Main</t>
  </si>
  <si>
    <t>Luxembourg Listing Agent</t>
  </si>
  <si>
    <t xml:space="preserve">2-4 rue Eugène Ruppert </t>
  </si>
  <si>
    <t>Fitch Ratings</t>
  </si>
  <si>
    <t>Neue Mainzer Strasse 46 - 50</t>
  </si>
  <si>
    <t>60311 Frankfurt am Main</t>
  </si>
  <si>
    <t>Principe de Vergara, 131 - 6º Floor</t>
  </si>
  <si>
    <t>28002 Madrid</t>
  </si>
  <si>
    <t>Tax Call Redemption date</t>
  </si>
  <si>
    <t>In case of Rating Trigger breach: Set-Off Reserve Required Amount</t>
  </si>
  <si>
    <t xml:space="preserve">22-24 Boulevard Royal </t>
  </si>
  <si>
    <t>cumulative net loss ratio %</t>
  </si>
  <si>
    <t>Cumulative Net Losses</t>
  </si>
  <si>
    <t>Bank of New York Mellon</t>
  </si>
  <si>
    <t xml:space="preserve">Debit balance PDL </t>
  </si>
  <si>
    <t>Replacement</t>
  </si>
  <si>
    <t>Bank of New York Mellon SA-NV/Luxembourg</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</si>
  <si>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</si>
  <si>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</si>
  <si>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</si>
  <si>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</si>
  <si>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</si>
  <si>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</si>
  <si>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</si>
  <si>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</si>
  <si>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</si>
  <si>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</si>
  <si>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</si>
  <si>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</si>
  <si>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</si>
  <si>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</si>
  <si>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</si>
  <si>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</si>
  <si>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</si>
  <si>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</si>
  <si>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</si>
  <si>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</si>
  <si>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</si>
  <si>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</si>
  <si>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</si>
  <si>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</si>
  <si>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</si>
  <si>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</si>
  <si>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</si>
  <si>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</si>
  <si>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</si>
  <si>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</si>
  <si>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</si>
  <si>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</si>
  <si>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</si>
  <si>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</si>
  <si>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</si>
  <si>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</si>
  <si>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</si>
  <si>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</si>
  <si>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</si>
  <si>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</si>
  <si>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</si>
  <si>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</si>
  <si>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</si>
  <si>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</si>
  <si>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</si>
  <si>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</si>
  <si>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</si>
  <si>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</si>
  <si>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</si>
  <si>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</si>
  <si>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</si>
  <si>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</si>
  <si>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</si>
  <si>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</si>
  <si>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</si>
  <si>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</si>
  <si>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</si>
  <si>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</si>
  <si>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</si>
  <si>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</si>
  <si>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</si>
  <si>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</si>
  <si>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</si>
  <si>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</si>
  <si>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</si>
  <si>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</si>
  <si>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</si>
  <si>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</si>
  <si>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</si>
  <si>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</si>
  <si>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</si>
  <si>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</si>
  <si>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</si>
  <si>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</si>
  <si>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</si>
  <si>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</si>
  <si>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</si>
  <si>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</si>
  <si>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</si>
  <si>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</si>
  <si>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</si>
  <si>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</si>
  <si>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</si>
  <si>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</si>
  <si>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</si>
  <si>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</si>
  <si>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</si>
  <si>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</si>
  <si>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</si>
  <si>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</si>
  <si>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</si>
  <si>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</si>
  <si>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</si>
  <si>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</si>
  <si>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</si>
  <si>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</si>
  <si>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</si>
  <si>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</si>
  <si>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</si>
  <si>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</si>
  <si>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</si>
  <si>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</si>
  <si>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Liquidity Reserve Amount Replenishment (Part II)</t>
  </si>
  <si>
    <t>* trigger applies for the first 25 Payment Dates following the end of the Replenishment Period</t>
  </si>
  <si>
    <t>Long Term or Derivative Counterparty Rating</t>
  </si>
  <si>
    <t>In case of Fitch, only one required rating must be held</t>
  </si>
  <si>
    <t>RTG_FITCH_DERIV_COUNTERPARTY</t>
  </si>
  <si>
    <t>Museumlaan 23581 HK, Utrecht</t>
  </si>
  <si>
    <t>3581 HK Utrecht</t>
  </si>
  <si>
    <t>Liquidity Reserve Amount Replenishment (Part I)</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</si>
  <si>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</si>
  <si>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</si>
  <si>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</si>
  <si>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</si>
  <si>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</si>
  <si>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</si>
  <si>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</si>
  <si>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Commingling Reserve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</si>
  <si>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</si>
  <si>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</si>
  <si>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</si>
  <si>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</si>
  <si>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</si>
  <si>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</si>
  <si>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SC Germany Consumer 2023-1</t>
  </si>
  <si>
    <t>Santander Corporate &amp; Investment Banking</t>
  </si>
  <si>
    <t>2 Triton Square</t>
  </si>
  <si>
    <t>Regent’s Place</t>
  </si>
  <si>
    <t>London NW1 3AN</t>
  </si>
  <si>
    <t>Deutsche Bank AG</t>
  </si>
  <si>
    <t>DBRS</t>
  </si>
  <si>
    <t>DZ Bank AG</t>
  </si>
  <si>
    <t>DBRS Ratings Ltd.</t>
  </si>
  <si>
    <t>Structured Finance</t>
  </si>
  <si>
    <t>1 Minister Court, 10th floor, Mincing Lane</t>
  </si>
  <si>
    <t xml:space="preserve">EC3R 7 AA London </t>
  </si>
  <si>
    <t>United Kingom</t>
  </si>
  <si>
    <t xml:space="preserve">- from the Payment Date in Sep 2024 until (and including) the Payment Date in Aug 2025 </t>
  </si>
  <si>
    <t>- prior to or on 31 July 2024</t>
  </si>
  <si>
    <t>Full Redemption Class B - F ( after Regulatory Change Event)</t>
  </si>
  <si>
    <t>Interest on Class B (If Most Senior Note or Class B PDL &lt; 25%)</t>
  </si>
  <si>
    <t>On or after to Sequential Payment Trigger Event: Redemption Class F</t>
  </si>
  <si>
    <t>SC GERMANY S.A., COMPARTMENT CONSUMER 2023-1</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</si>
  <si>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</si>
  <si>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</si>
  <si>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</si>
  <si>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Any debit of OC PDL equal to or higher than 0.25% on two consecutive Payment Dates</t>
  </si>
  <si>
    <t>XS2639842348</t>
  </si>
  <si>
    <t>XS2639843072</t>
  </si>
  <si>
    <t>XS2639843742</t>
  </si>
  <si>
    <t>XS2639844047</t>
  </si>
  <si>
    <t>1mE+72bp</t>
  </si>
  <si>
    <t>1mE+155bp</t>
  </si>
  <si>
    <t>1mE+270bp</t>
  </si>
  <si>
    <t>1mE+415bp</t>
  </si>
  <si>
    <t>1mE+675bp</t>
  </si>
  <si>
    <t>1mE+875bp</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</si>
  <si>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</si>
  <si>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</si>
  <si>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</si>
  <si>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</si>
  <si>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</si>
  <si>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</si>
  <si>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</si>
  <si>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</si>
  <si>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</si>
  <si>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</si>
  <si>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</si>
  <si>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</si>
  <si>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</si>
  <si>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</si>
  <si>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</si>
  <si>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</si>
  <si>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</si>
  <si>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</si>
  <si>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</si>
  <si>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</si>
  <si>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</si>
  <si>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</si>
  <si>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</si>
  <si>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</si>
  <si>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</si>
  <si>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</si>
  <si>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</si>
  <si>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</si>
  <si>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</si>
  <si>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</si>
  <si>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</si>
  <si>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</si>
  <si>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</si>
  <si>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</si>
  <si>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</si>
  <si>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</si>
  <si>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</si>
  <si>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</si>
  <si>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</si>
  <si>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</si>
  <si>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</si>
  <si>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</si>
  <si>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</si>
  <si>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</si>
  <si>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</si>
  <si>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</si>
  <si>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</si>
  <si>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</si>
  <si>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</si>
  <si>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</si>
  <si>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</si>
  <si>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</si>
  <si>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</si>
  <si>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</si>
  <si>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</si>
  <si>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</si>
  <si>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</si>
  <si>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</si>
  <si>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</si>
  <si>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</si>
  <si>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</si>
  <si>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</si>
  <si>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</si>
  <si>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</si>
  <si>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</si>
  <si>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</si>
  <si>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</si>
  <si>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</si>
  <si>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</si>
  <si>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</si>
  <si>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</si>
  <si>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</si>
  <si>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</si>
  <si>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</si>
  <si>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</si>
  <si>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</si>
  <si>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</si>
  <si>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</si>
  <si>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</si>
  <si>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</si>
  <si>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</si>
  <si>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</si>
  <si>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</si>
  <si>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</si>
  <si>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</si>
  <si>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</si>
  <si>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</si>
  <si>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</si>
  <si>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</si>
  <si>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</si>
  <si>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</si>
  <si>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</si>
  <si>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</si>
  <si>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</si>
  <si>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</si>
  <si>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</si>
  <si>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</si>
  <si>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</si>
  <si>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</si>
  <si>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</si>
  <si>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</si>
  <si>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</si>
  <si>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</si>
  <si>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</si>
  <si>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</si>
  <si>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</si>
  <si>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</si>
  <si>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</si>
  <si>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</si>
  <si>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</si>
  <si>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</si>
  <si>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</si>
  <si>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</si>
  <si>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</si>
  <si>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</si>
  <si>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</si>
  <si>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</si>
  <si>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</si>
  <si>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</si>
  <si>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</si>
  <si>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</si>
  <si>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</si>
  <si>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</si>
  <si>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</si>
  <si>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</si>
  <si>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</si>
  <si>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</si>
  <si>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</si>
  <si>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</si>
  <si>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</si>
  <si>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</si>
  <si>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</si>
  <si>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</si>
  <si>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</si>
  <si>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</si>
  <si>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</si>
  <si>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</si>
  <si>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</si>
  <si>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</si>
  <si>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</si>
  <si>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</si>
  <si>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</si>
  <si>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</si>
  <si>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</si>
  <si>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</si>
  <si>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</si>
  <si>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</si>
  <si>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</si>
  <si>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</si>
  <si>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</si>
  <si>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</si>
  <si>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</si>
  <si>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</si>
  <si>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</si>
  <si>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</si>
  <si>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</si>
  <si>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</si>
  <si>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</si>
  <si>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</si>
  <si>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Kapitalmärkte Handel / ABS-Emissionen</t>
  </si>
  <si>
    <t>Platz der Republik</t>
  </si>
  <si>
    <t>60265 Frankfurt am Main</t>
  </si>
  <si>
    <t>OC PDL Sub-Ledger</t>
  </si>
  <si>
    <t>OC PDL BoP</t>
  </si>
  <si>
    <t>OC Amount debited to the PDL</t>
  </si>
  <si>
    <t>OC Amount credited to the PDL</t>
  </si>
  <si>
    <t>OC PDL EoP</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</si>
  <si>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</si>
  <si>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</si>
  <si>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</si>
  <si>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</si>
  <si>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</si>
  <si>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 xml:space="preserve">Full Payment of Deferred Purchase Price </t>
  </si>
  <si>
    <t>On or after to Sequential Payment Trigger Event: Redemption of Deferred Purchase Price</t>
  </si>
  <si>
    <t>Taunusanlage 12</t>
  </si>
  <si>
    <t>60325 Frankfurt am Main</t>
  </si>
  <si>
    <t>Bijlmerdreef 106</t>
  </si>
  <si>
    <t>1102 CT Amsterdam</t>
  </si>
  <si>
    <t>BBB</t>
  </si>
  <si>
    <t>"Critical obligations rating" or higher of "issuer rating" and "senior unsecured debt rating"</t>
  </si>
  <si>
    <t>Clearing of rounding differences</t>
  </si>
  <si>
    <t>80000:</t>
  </si>
  <si>
    <t>100000:</t>
  </si>
  <si>
    <t>ING Bank N.V.</t>
  </si>
  <si>
    <t>F &amp; M &amp; D</t>
  </si>
  <si>
    <t>XS2639843403</t>
  </si>
  <si>
    <t>XS2639842694</t>
  </si>
  <si>
    <t>RTG_DBRS_SENIOR_UNSECURED</t>
  </si>
  <si>
    <t>RTG_DBRS_OUTLOOK</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</si>
  <si>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</si>
  <si>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</si>
  <si>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</si>
  <si>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</si>
  <si>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</si>
  <si>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</si>
  <si>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</si>
  <si>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</si>
  <si>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</si>
  <si>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</si>
  <si>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</si>
  <si>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</si>
  <si>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</si>
  <si>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</si>
  <si>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</si>
  <si>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</si>
  <si>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t>AAA (sf)/AAA (sf)/Aaa (sf)</t>
  </si>
  <si>
    <t>AA (sf)/AA (sf)/Aa1 (sf)</t>
  </si>
  <si>
    <t>A (high) (sf)/A (sf)/Aa3 (sf)</t>
  </si>
  <si>
    <t>A (low) (sf)/BBB (sf)/Baa1 (sf)</t>
  </si>
  <si>
    <t>BBB (low) (sf)/BB (sf)/Ba1 (sf)</t>
  </si>
  <si>
    <t>BB (high) (sf)/BB (sf)/Ba3 (sf)</t>
  </si>
  <si>
    <t xml:space="preserve">    Current Rating (DBRS / Fitch / Moody's)*</t>
  </si>
  <si>
    <t xml:space="preserve">    Original Rating (DBRS / Fitch / Moody's</t>
  </si>
  <si>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</si>
  <si>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</si>
  <si>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</si>
  <si>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</si>
  <si>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Amortising</t>
  </si>
  <si>
    <t>Saxony</t>
  </si>
  <si>
    <r>
      <t xml:space="preserve">Maturity date of the notes under the assumption of inter alia (a) a 20 </t>
    </r>
    <r>
      <rPr>
        <b/>
        <sz val="10"/>
        <rFont val="Arial"/>
        <family val="2"/>
      </rPr>
      <t>%</t>
    </r>
    <r>
      <rPr>
        <sz val="10"/>
        <rFont val="Arial"/>
        <family val="2"/>
      </rPr>
      <t xml:space="preserve"> constant prepayment rate, (b) an exercised Clean-Up Call at 10%.</t>
    </r>
  </si>
  <si>
    <t>Any amount received on defaulted contracts.</t>
  </si>
  <si>
    <t>Protection against set-off risks due to (X) capitalized service fees (e.g. Payment Protection Insurance, Gap Insurance, Repair Cost Insurance) and (Y) deposits.</t>
  </si>
  <si>
    <t>the risk that a Debtor in its capacity as insured person is unable to pay the Loan Instalments owed by such Debtor life insurance.</t>
  </si>
  <si>
    <t>Excess Spread equals WA Portfolio Yield minus Fixed Swap Rate minus WA Notes Margin.</t>
  </si>
  <si>
    <t>IDCONTR_PACK</t>
  </si>
  <si>
    <t>RANGE</t>
  </si>
  <si>
    <t>_FREQ_</t>
  </si>
  <si>
    <t>RANGEVAL</t>
  </si>
  <si>
    <t>0000044</t>
  </si>
  <si>
    <t xml:space="preserve">     44</t>
  </si>
  <si>
    <t>Initial</t>
  </si>
  <si>
    <t>PACKAGE</t>
  </si>
  <si>
    <t>VARIABLE</t>
  </si>
  <si>
    <t>NUM</t>
  </si>
  <si>
    <t>DATE</t>
  </si>
  <si>
    <t>STRG</t>
  </si>
  <si>
    <t>F6</t>
  </si>
  <si>
    <t>F7</t>
  </si>
  <si>
    <t>F8</t>
  </si>
  <si>
    <t>F2</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</si>
  <si>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</si>
  <si>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</si>
  <si>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</si>
  <si>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</si>
  <si>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</si>
  <si>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</si>
  <si>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</si>
  <si>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</si>
  <si>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</si>
  <si>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</si>
  <si>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</si>
  <si>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</si>
  <si>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</si>
  <si>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</si>
  <si>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</si>
  <si>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</si>
  <si>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</si>
  <si>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</si>
  <si>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</si>
  <si>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</si>
  <si>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</si>
  <si>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</si>
  <si>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</si>
  <si>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</si>
  <si>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</si>
  <si>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</si>
  <si>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</si>
  <si>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</si>
  <si>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</si>
  <si>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</si>
  <si>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</si>
  <si>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</si>
  <si>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</si>
  <si>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</si>
  <si>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</si>
  <si>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</si>
  <si>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</si>
  <si>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</si>
  <si>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</si>
  <si>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</si>
  <si>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</si>
  <si>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</si>
  <si>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</si>
  <si>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</si>
  <si>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</si>
  <si>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</si>
  <si>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</si>
  <si>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</si>
  <si>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</si>
  <si>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</si>
  <si>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</si>
  <si>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</si>
  <si>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</si>
  <si>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</si>
  <si>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</si>
  <si>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</si>
  <si>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</si>
  <si>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</si>
  <si>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</si>
  <si>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</si>
  <si>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</si>
  <si>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</si>
  <si>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</si>
  <si>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</si>
  <si>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</si>
  <si>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</si>
  <si>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</si>
  <si>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</si>
  <si>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</si>
  <si>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</si>
  <si>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</si>
  <si>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</si>
  <si>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</si>
  <si>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</si>
  <si>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</si>
  <si>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</si>
  <si>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</si>
  <si>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</si>
  <si>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</si>
  <si>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</si>
  <si>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</si>
  <si>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</si>
  <si>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</si>
  <si>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</si>
  <si>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</si>
  <si>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</si>
  <si>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</si>
  <si>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</si>
  <si>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</si>
  <si>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</si>
  <si>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</si>
  <si>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</si>
  <si>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</si>
  <si>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</si>
  <si>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</si>
  <si>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</si>
  <si>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</si>
  <si>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</si>
  <si>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</si>
  <si>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</si>
  <si>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</si>
  <si>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</si>
  <si>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</si>
  <si>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</si>
  <si>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</si>
  <si>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</si>
  <si>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</si>
  <si>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</si>
  <si>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</si>
  <si>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</si>
  <si>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</si>
  <si>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</si>
  <si>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</si>
  <si>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</si>
  <si>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</si>
  <si>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</si>
  <si>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</si>
  <si>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</si>
  <si>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</si>
  <si>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</si>
  <si>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</si>
  <si>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</si>
  <si>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</si>
  <si>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</si>
  <si>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</si>
  <si>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</si>
  <si>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</si>
  <si>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</si>
  <si>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</si>
  <si>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</si>
  <si>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</si>
  <si>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</si>
  <si>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</si>
  <si>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</si>
  <si>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</si>
  <si>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</si>
  <si>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</si>
  <si>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</si>
  <si>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</si>
  <si>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</si>
  <si>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</si>
  <si>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</si>
  <si>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</si>
  <si>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</si>
  <si>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</si>
  <si>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</si>
  <si>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</si>
  <si>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</si>
  <si>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</si>
  <si>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</si>
  <si>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</si>
  <si>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</si>
  <si>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</si>
  <si>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</si>
  <si>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</si>
  <si>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</si>
  <si>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</si>
  <si>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</si>
  <si>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</si>
  <si>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</si>
  <si>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</si>
  <si>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</si>
  <si>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</si>
  <si>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</si>
  <si>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OUTSTANDING</t>
  </si>
  <si>
    <t>SCHEDULED</t>
  </si>
  <si>
    <t>PREPAYMENTS</t>
  </si>
  <si>
    <t>COLLECTIONS</t>
  </si>
  <si>
    <t>RATE</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</si>
  <si>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</si>
  <si>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</si>
  <si>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</si>
  <si>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</si>
  <si>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</si>
  <si>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</si>
  <si>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</si>
  <si>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</si>
  <si>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</si>
  <si>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</si>
  <si>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</si>
  <si>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</si>
  <si>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</si>
  <si>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</si>
  <si>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</si>
  <si>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POOL</t>
  </si>
  <si>
    <t>COUNTERPARTY</t>
  </si>
  <si>
    <t>RTG_MDY_ST_CRA</t>
  </si>
  <si>
    <t>RTG_FITCH_SEN_UNSECURED</t>
  </si>
  <si>
    <t>RTG_FITCH_SHORT_TERM</t>
  </si>
  <si>
    <t>RTG_DBRS_LT_BANK_DEPOSITS</t>
  </si>
  <si>
    <t>RTG_DBRS_ST</t>
  </si>
  <si>
    <t>RTG_DATE</t>
  </si>
  <si>
    <t>ABS_RAT</t>
  </si>
  <si>
    <t>portfolio_16</t>
  </si>
  <si>
    <t>portfolio_17</t>
  </si>
  <si>
    <t>* Last rating action as of 24.02.2025</t>
  </si>
  <si>
    <t>yes</t>
  </si>
  <si>
    <t>- current Value</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</si>
  <si>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</si>
  <si>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</si>
  <si>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</si>
  <si>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</si>
  <si>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</si>
  <si>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</si>
  <si>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</si>
  <si>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</si>
  <si>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</si>
  <si>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</si>
  <si>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</si>
  <si>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</si>
  <si>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</si>
  <si>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</si>
  <si>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</si>
  <si>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</si>
  <si>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</si>
  <si>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</si>
  <si>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</si>
  <si>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</si>
  <si>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</si>
  <si>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</si>
  <si>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</si>
  <si>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</si>
  <si>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</si>
  <si>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</si>
  <si>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</si>
  <si>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</si>
  <si>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</si>
  <si>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</si>
  <si>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</si>
  <si>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</si>
  <si>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</si>
  <si>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</si>
  <si>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</si>
  <si>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</si>
  <si>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</si>
  <si>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</si>
  <si>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</si>
  <si>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</si>
  <si>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</si>
  <si>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</si>
  <si>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</si>
  <si>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</si>
  <si>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</si>
  <si>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</si>
  <si>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</si>
  <si>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</si>
  <si>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</si>
  <si>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</si>
  <si>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</si>
  <si>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</si>
  <si>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</si>
  <si>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</si>
  <si>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</si>
  <si>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</si>
  <si>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</si>
  <si>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</si>
  <si>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</si>
  <si>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</si>
  <si>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</si>
  <si>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</si>
  <si>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</si>
  <si>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</si>
  <si>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</si>
  <si>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</si>
  <si>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</si>
  <si>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</si>
  <si>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</si>
  <si>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</si>
  <si>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</si>
  <si>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</si>
  <si>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</si>
  <si>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</si>
  <si>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</si>
  <si>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</si>
  <si>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</si>
  <si>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</si>
  <si>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</si>
  <si>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</si>
  <si>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</si>
  <si>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</si>
  <si>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</si>
  <si>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</si>
  <si>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</si>
  <si>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</si>
  <si>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</si>
  <si>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</si>
  <si>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</si>
  <si>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</si>
  <si>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</si>
  <si>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</si>
  <si>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</si>
  <si>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</si>
  <si>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</si>
  <si>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</si>
  <si>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</si>
  <si>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</si>
  <si>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</si>
  <si>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</si>
  <si>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</si>
  <si>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</si>
  <si>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</si>
  <si>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</si>
  <si>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</si>
  <si>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</si>
  <si>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</si>
  <si>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</si>
  <si>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</si>
  <si>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</si>
  <si>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</si>
  <si>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</si>
  <si>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</si>
  <si>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</si>
  <si>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</si>
  <si>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</si>
  <si>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</si>
  <si>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</si>
  <si>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</si>
  <si>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</si>
  <si>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</si>
  <si>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</si>
  <si>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</si>
  <si>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</si>
  <si>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</si>
  <si>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</si>
  <si>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</si>
  <si>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</si>
  <si>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</si>
  <si>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</si>
  <si>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</si>
  <si>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</si>
  <si>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</si>
  <si>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</si>
  <si>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</si>
  <si>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</si>
  <si>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</si>
  <si>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</si>
  <si>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</si>
  <si>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</si>
  <si>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</si>
  <si>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</si>
  <si>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</si>
  <si>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</si>
  <si>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</si>
  <si>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</si>
  <si>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</si>
  <si>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</si>
  <si>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</si>
  <si>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</si>
  <si>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</si>
  <si>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</si>
  <si>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</si>
  <si>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</si>
  <si>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</si>
  <si>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</si>
  <si>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</si>
  <si>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</si>
  <si>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</si>
  <si>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</si>
  <si>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</si>
  <si>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</si>
  <si>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</si>
  <si>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</si>
  <si>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</si>
  <si>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</si>
  <si>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</si>
  <si>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</si>
  <si>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</si>
  <si>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</si>
  <si>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</si>
  <si>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</si>
  <si>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</si>
  <si>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</si>
  <si>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</si>
  <si>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</si>
  <si>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</si>
  <si>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</si>
  <si>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</si>
  <si>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</si>
  <si>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</si>
  <si>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</si>
  <si>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</si>
  <si>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</si>
  <si>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</si>
  <si>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</si>
  <si>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</si>
  <si>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</si>
  <si>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</si>
  <si>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</si>
  <si>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</si>
  <si>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</si>
  <si>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</si>
  <si>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</si>
  <si>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</si>
  <si>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</si>
  <si>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</si>
  <si>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</si>
  <si>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</si>
  <si>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</si>
  <si>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</si>
  <si>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</si>
  <si>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</si>
  <si>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</si>
  <si>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</si>
  <si>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</si>
  <si>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</si>
  <si>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</si>
  <si>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</si>
  <si>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</si>
  <si>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</si>
  <si>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</si>
  <si>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</si>
  <si>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</si>
  <si>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</si>
  <si>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</si>
  <si>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</si>
  <si>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</si>
  <si>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</si>
  <si>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</si>
  <si>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</si>
  <si>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</si>
  <si>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</si>
  <si>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</si>
  <si>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</si>
  <si>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</si>
  <si>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</si>
  <si>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</si>
  <si>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</si>
  <si>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</si>
  <si>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</si>
  <si>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</si>
  <si>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</si>
  <si>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</si>
  <si>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</si>
  <si>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</si>
  <si>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</si>
  <si>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</si>
  <si>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</si>
  <si>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</si>
  <si>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</si>
  <si>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</si>
  <si>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</si>
  <si>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</si>
  <si>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</si>
  <si>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</si>
  <si>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</si>
  <si>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</si>
  <si>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</si>
  <si>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</si>
  <si>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</si>
  <si>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</si>
  <si>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</si>
  <si>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</si>
  <si>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</si>
  <si>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</si>
  <si>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</si>
  <si>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</si>
  <si>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</si>
  <si>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</si>
  <si>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</si>
  <si>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</si>
  <si>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</si>
  <si>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</si>
  <si>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</si>
  <si>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</si>
  <si>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</si>
  <si>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</si>
  <si>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</si>
  <si>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</si>
  <si>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</si>
  <si>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</si>
  <si>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</si>
  <si>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</si>
  <si>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</si>
  <si>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</si>
  <si>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</si>
  <si>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</si>
  <si>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</si>
  <si>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</si>
  <si>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</si>
  <si>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</si>
  <si>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</si>
  <si>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</si>
  <si>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</si>
  <si>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</si>
  <si>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</si>
  <si>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</si>
  <si>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</si>
  <si>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</si>
  <si>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</si>
  <si>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</si>
  <si>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</si>
  <si>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</si>
  <si>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</si>
  <si>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</si>
  <si>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</si>
  <si>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</si>
  <si>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</si>
  <si>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</si>
  <si>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</si>
  <si>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</si>
  <si>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</si>
  <si>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</si>
  <si>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</si>
  <si>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</si>
  <si>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</si>
  <si>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</si>
  <si>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</si>
  <si>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</si>
  <si>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</si>
  <si>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</si>
  <si>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</si>
  <si>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</si>
  <si>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</si>
  <si>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</si>
  <si>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</si>
  <si>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</si>
  <si>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</si>
  <si>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</si>
  <si>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</si>
  <si>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</si>
  <si>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</si>
  <si>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</si>
  <si>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</si>
  <si>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</si>
  <si>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</si>
  <si>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</si>
  <si>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</si>
  <si>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</si>
  <si>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</si>
  <si>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</si>
  <si>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</si>
  <si>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</si>
  <si>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</si>
  <si>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</si>
  <si>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</si>
  <si>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</si>
  <si>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</si>
  <si>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</si>
  <si>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</si>
  <si>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</si>
  <si>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</si>
  <si>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</si>
  <si>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</si>
  <si>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</si>
  <si>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</si>
  <si>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</si>
  <si>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</si>
  <si>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</si>
  <si>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</si>
  <si>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</si>
  <si>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</si>
  <si>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</si>
  <si>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</si>
  <si>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</si>
  <si>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</si>
  <si>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</si>
  <si>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</si>
  <si>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</si>
  <si>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</si>
  <si>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</si>
  <si>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</si>
  <si>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</si>
  <si>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</si>
  <si>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Liquidity_Reserve_excess_amount</t>
  </si>
  <si>
    <t>Liquidity_Reserve_pop</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</si>
  <si>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</si>
  <si>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</si>
  <si>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</si>
  <si>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</si>
  <si>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</si>
  <si>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</si>
  <si>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</si>
  <si>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</si>
  <si>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</si>
  <si>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</si>
  <si>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</si>
  <si>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</si>
  <si>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</si>
  <si>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</si>
  <si>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</si>
  <si>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</si>
  <si>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</si>
  <si>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</si>
  <si>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</si>
  <si>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</si>
  <si>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</si>
  <si>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</si>
  <si>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</si>
  <si>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0.038268464692</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</si>
  <si>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</si>
  <si>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</si>
  <si>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</si>
  <si>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</si>
  <si>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</si>
  <si>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</si>
  <si>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</si>
  <si>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</si>
  <si>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</si>
  <si>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</si>
  <si>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</si>
  <si>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</si>
  <si>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</si>
  <si>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</si>
  <si>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</si>
  <si>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</si>
  <si>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</si>
  <si>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</si>
  <si>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</si>
  <si>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</si>
  <si>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</si>
  <si>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</si>
  <si>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</si>
  <si>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</si>
  <si>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</si>
  <si>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</si>
  <si>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OC_PDL_bop</t>
  </si>
  <si>
    <t>OC_debited_PDL</t>
  </si>
  <si>
    <t>OC_credited_PDL</t>
  </si>
  <si>
    <t>OC_PDL_eop</t>
  </si>
  <si>
    <t>Cum_Default_Ratio</t>
  </si>
  <si>
    <t>Purchase_Shortfall_before_previous</t>
  </si>
  <si>
    <t>Delinquency_Ratio</t>
  </si>
  <si>
    <t>Dynamic_Loss_Ratio_3M</t>
  </si>
  <si>
    <t>Debit_Balance_PDL_previous</t>
  </si>
  <si>
    <t>Debit_Balance_PDL_current</t>
  </si>
  <si>
    <t>Total_Notes_bop</t>
  </si>
  <si>
    <t>A_Notes_bop</t>
  </si>
  <si>
    <t>B_Notes_bop</t>
  </si>
  <si>
    <t>C_Notes_bop</t>
  </si>
  <si>
    <t>D_Notes_bop</t>
  </si>
  <si>
    <t>E_Notes_bop</t>
  </si>
  <si>
    <t>F_Notes_bop</t>
  </si>
  <si>
    <t>Amortisation</t>
  </si>
  <si>
    <t>Total_Redemption</t>
  </si>
  <si>
    <t>A_Redemption</t>
  </si>
  <si>
    <t>B_Redemption</t>
  </si>
  <si>
    <t>C_Redemption</t>
  </si>
  <si>
    <t>D_Redemption</t>
  </si>
  <si>
    <t>E_Redemption</t>
  </si>
  <si>
    <t>F_Redemption</t>
  </si>
  <si>
    <t>Interest_Days</t>
  </si>
  <si>
    <t>A_Interests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</si>
  <si>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</si>
  <si>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</si>
  <si>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</si>
  <si>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</si>
  <si>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</si>
  <si>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</si>
  <si>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</si>
  <si>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</si>
  <si>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</si>
  <si>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</si>
  <si>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</si>
  <si>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</si>
  <si>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</si>
  <si>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</si>
  <si>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</si>
  <si>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</si>
  <si>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</si>
  <si>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</si>
  <si>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</si>
  <si>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</si>
  <si>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</si>
  <si>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A_interest_amount_notes</t>
  </si>
  <si>
    <t>B_interest_amount_notes</t>
  </si>
  <si>
    <t>C_interest_amount_notes</t>
  </si>
  <si>
    <t>D_interest_amount_notes</t>
  </si>
  <si>
    <t>E_interest_amount_notes</t>
  </si>
  <si>
    <t>F_interest_amount_notes</t>
  </si>
  <si>
    <t>Liquidity_Reserve_Account_part1</t>
  </si>
  <si>
    <t>Elimination_PDL</t>
  </si>
  <si>
    <t>Liquidity_Reserve_Account_part2</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</si>
  <si>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</si>
  <si>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</si>
  <si>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</si>
  <si>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</si>
  <si>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</si>
  <si>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</si>
  <si>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</si>
  <si>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</si>
  <si>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</si>
  <si>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</si>
  <si>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</si>
  <si>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</si>
  <si>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</si>
  <si>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</si>
  <si>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</si>
  <si>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</si>
  <si>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</si>
  <si>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</si>
  <si>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</si>
  <si>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</si>
  <si>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</si>
  <si>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</si>
  <si>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</si>
  <si>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</si>
  <si>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A_prorata_Principal</t>
  </si>
  <si>
    <t>B_prorata_Principal</t>
  </si>
  <si>
    <t>C_prorata_Principal</t>
  </si>
  <si>
    <t>D_prorata_Principal</t>
  </si>
  <si>
    <t>E_prorata_Principal</t>
  </si>
  <si>
    <t>A_sequential_Principal</t>
  </si>
  <si>
    <t>Full_Redemption_B_F</t>
  </si>
  <si>
    <t>Payment_deferred_purchase_price</t>
  </si>
  <si>
    <t>B_Full_Redemption</t>
  </si>
  <si>
    <t>C_Full_Redemption</t>
  </si>
  <si>
    <t>D_Full_Redemption</t>
  </si>
  <si>
    <t>E_Full_Redemption</t>
  </si>
  <si>
    <t>F_Full_Redemption</t>
  </si>
  <si>
    <t>Mezzanine_loan_principal</t>
  </si>
  <si>
    <t>Redemption_deferred_purchase_price</t>
  </si>
  <si>
    <t>Clearing_rounding_differences</t>
  </si>
  <si>
    <t>Transaction_Account_remaining_amount</t>
  </si>
  <si>
    <t>Total_Interests_accrued</t>
  </si>
  <si>
    <t>A_Interests_accrued</t>
  </si>
  <si>
    <t>B_Interests_accrued</t>
  </si>
  <si>
    <t>C_Interests_accrued</t>
  </si>
  <si>
    <t>D_Interests_accrued</t>
  </si>
  <si>
    <t>E_Interests_accrued</t>
  </si>
  <si>
    <t>F_Interests_accrued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</si>
  <si>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</si>
  <si>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</si>
  <si>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</si>
  <si>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</si>
  <si>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</si>
  <si>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</si>
  <si>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</si>
  <si>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</si>
  <si>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Reserve_Interests_accrued_cum</t>
  </si>
  <si>
    <t>Total_Interest_Payments</t>
  </si>
  <si>
    <t>A_Interest_Payments</t>
  </si>
  <si>
    <t>B_Interest_Payments</t>
  </si>
  <si>
    <t>C_Interest_Payments</t>
  </si>
  <si>
    <t>D_Interest_Payments</t>
  </si>
  <si>
    <t>E_Interest_Payments</t>
  </si>
  <si>
    <t>F_Interest_Payments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</si>
  <si>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</si>
  <si>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</si>
  <si>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</si>
  <si>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</si>
  <si>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</si>
  <si>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</si>
  <si>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</si>
  <si>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</si>
  <si>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Reserve_Interest_Payments_cum</t>
  </si>
  <si>
    <t>Total_Interests_unpaid</t>
  </si>
  <si>
    <t>A_Interests_unpaid</t>
  </si>
  <si>
    <t>B_Interests_unpaid</t>
  </si>
  <si>
    <t>C_Interests_unpaid</t>
  </si>
  <si>
    <t>D_Interests_unpaid</t>
  </si>
  <si>
    <t>E_Interests_unpaid</t>
  </si>
  <si>
    <t>F_Interests_unpaid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</si>
  <si>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</si>
  <si>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</si>
  <si>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</si>
  <si>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</si>
  <si>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</si>
  <si>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</si>
  <si>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</si>
  <si>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</si>
  <si>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</si>
  <si>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</si>
  <si>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</si>
  <si>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</si>
  <si>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</si>
  <si>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</si>
  <si>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</si>
  <si>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portfolio_18</t>
  </si>
  <si>
    <t>portfolio_19</t>
  </si>
  <si>
    <t>portfolio_20</t>
  </si>
  <si>
    <t>portfolio_21</t>
  </si>
  <si>
    <t>portfolio_22</t>
  </si>
  <si>
    <t>portfolio_23</t>
  </si>
  <si>
    <t>portfolio_24</t>
  </si>
  <si>
    <t>portfolio_25</t>
  </si>
  <si>
    <t>portfolio_26</t>
  </si>
  <si>
    <t>portfolio_27</t>
  </si>
  <si>
    <t>A2(cr)</t>
  </si>
  <si>
    <t>A1</t>
  </si>
  <si>
    <t>P-1(cr)</t>
  </si>
  <si>
    <t>P-1</t>
  </si>
  <si>
    <t>STABLE</t>
  </si>
  <si>
    <t>A+</t>
  </si>
  <si>
    <t>A+(dcr)</t>
  </si>
  <si>
    <t>AH</t>
  </si>
  <si>
    <t>R-1M</t>
  </si>
  <si>
    <t>Aa1(cr)</t>
  </si>
  <si>
    <t>Aa2</t>
  </si>
  <si>
    <t>AA</t>
  </si>
  <si>
    <t>F1+</t>
  </si>
  <si>
    <t>AA(dcr)</t>
  </si>
  <si>
    <t>AAH</t>
  </si>
  <si>
    <t>R-1H</t>
  </si>
  <si>
    <t>Aa2(cr)</t>
  </si>
  <si>
    <t>AA-</t>
  </si>
  <si>
    <t>AAL</t>
  </si>
  <si>
    <t>A1(cr)</t>
  </si>
  <si>
    <t>A-</t>
  </si>
  <si>
    <t>A(dcr)</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</si>
  <si>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</si>
  <si>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</si>
  <si>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</si>
  <si>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</si>
  <si>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</si>
  <si>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</si>
  <si>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</si>
  <si>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</si>
  <si>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</si>
  <si>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</si>
  <si>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</si>
  <si>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</si>
  <si>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</si>
  <si>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</si>
  <si>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</si>
  <si>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</si>
  <si>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31.10.2025, data source: Bloomberg</t>
  </si>
  <si>
    <t>Nominations for this year's GlobalCapital Securitization Awards are now open.</t>
  </si>
  <si>
    <r>
      <t xml:space="preserve">We invite you to take a moment to recognize our work and support </t>
    </r>
    <r>
      <rPr>
        <b/>
        <sz val="10"/>
        <rFont val="Arial"/>
        <family val="2"/>
      </rPr>
      <t>Santander Germany</t>
    </r>
    <r>
      <rPr>
        <sz val="10"/>
        <rFont val="Arial"/>
        <family val="2"/>
      </rPr>
      <t xml:space="preserve"> </t>
    </r>
  </si>
  <si>
    <t>through your nomination as e.g. ABS Issuer of the year and SCGC 2025-1 as Deal of the year.</t>
  </si>
  <si>
    <t>European Securitization Awards 2026 - Call for Nominations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</si>
</sst>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s>
  <fonts count="87">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
      <b/>
      <i/>
      <sz val="10"/>
      <name val="Arial"/>
      <family val="2"/>
    </font>
    <font>
      <b/>
      <u/>
      <sz val="10"/>
      <color indexed="12"/>
      <name val="Arial"/>
      <family val="2"/>
    </font>
    <font>
      <u/>
      <sz val="10"/>
      <color indexed="12"/>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0">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081">
    <xf numFmtId="0" fontId="0" fillId="0" borderId="0" xfId="0"/>
    <xf numFmtId="0" fontId="2" fillId="0" borderId="10" xfId="0" applyFont="1" applyFill="1" applyBorder="1" applyAlignment="1">
      <alignment horizontal="center" vertical="center" wrapText="1"/>
    </xf>
    <xf numFmtId="0" fontId="2" fillId="0" borderId="10" xfId="23" applyFont="1" applyFill="1" applyBorder="1" applyAlignment="1">
      <alignment horizontal="center" vertical="center" wrapText="1"/>
    </xf>
    <xf numFmtId="0" fontId="2" fillId="2" borderId="10" xfId="23" applyFont="1" applyFill="1" applyBorder="1" applyAlignment="1">
      <alignment horizontal="center" vertical="center" wrapText="1"/>
    </xf>
    <xf numFmtId="0" fontId="2" fillId="0" borderId="38" xfId="23" applyFont="1" applyFill="1" applyBorder="1" applyAlignment="1">
      <alignment horizontal="center" vertical="center"/>
    </xf>
    <xf numFmtId="0" fontId="2" fillId="0" borderId="0" xfId="23" applyFont="1" applyFill="1" applyBorder="1" applyAlignment="1">
      <alignment horizontal="center" vertical="center"/>
    </xf>
    <xf numFmtId="0" fontId="21" fillId="0" borderId="0" xfId="23" applyFont="1" applyFill="1" applyAlignment="1">
      <alignment vertical="center"/>
    </xf>
    <xf numFmtId="0" fontId="22" fillId="0" borderId="0" xfId="23" applyFont="1" applyAlignment="1">
      <alignment vertical="center"/>
    </xf>
    <xf numFmtId="0" fontId="12" fillId="0" borderId="0" xfId="23"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0" fontId="12" fillId="0" borderId="7" xfId="0" applyFont="1" applyFill="1" applyBorder="1" applyAlignment="1">
      <alignment vertical="center"/>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0" xfId="0" applyFont="1" applyFill="1" applyBorder="1" applyAlignment="1">
      <alignment vertical="center"/>
    </xf>
    <xf numFmtId="0" fontId="12" fillId="0" borderId="39" xfId="0" applyFont="1" applyFill="1" applyBorder="1" applyAlignment="1">
      <alignment vertical="center"/>
    </xf>
    <xf numFmtId="1" fontId="7" fillId="0" borderId="0" xfId="23" applyNumberFormat="1" applyFont="1" applyFill="1" applyBorder="1" applyAlignment="1">
      <alignment vertical="center"/>
    </xf>
    <xf numFmtId="0" fontId="7" fillId="0" borderId="0" xfId="23" applyFont="1" applyFill="1" applyBorder="1" applyAlignment="1">
      <alignment vertical="center"/>
    </xf>
    <xf numFmtId="0" fontId="2" fillId="0" borderId="0" xfId="23"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Fill="1" applyBorder="1" applyAlignment="1">
      <alignment vertical="center"/>
    </xf>
    <xf numFmtId="0" fontId="6" fillId="0" borderId="7" xfId="9" applyFont="1" applyFill="1" applyBorder="1" applyAlignment="1">
      <alignment horizontal="right" vertical="center" wrapText="1"/>
    </xf>
    <xf numFmtId="0" fontId="12" fillId="0" borderId="0" xfId="23" applyFont="1" applyAlignment="1">
      <alignment vertical="center"/>
    </xf>
    <xf numFmtId="0" fontId="25" fillId="0" borderId="0" xfId="23" applyFont="1" applyAlignment="1">
      <alignment vertical="center"/>
    </xf>
    <xf numFmtId="0" fontId="44" fillId="0" borderId="7" xfId="23" applyFont="1" applyFill="1" applyBorder="1" applyAlignment="1">
      <alignment vertical="center"/>
    </xf>
    <xf numFmtId="0" fontId="2" fillId="0" borderId="0" xfId="23" applyFont="1" applyBorder="1" applyAlignment="1">
      <alignment vertical="center"/>
    </xf>
    <xf numFmtId="0" fontId="44" fillId="0" borderId="38" xfId="23" applyFont="1" applyFill="1" applyBorder="1" applyAlignment="1">
      <alignment vertical="center"/>
    </xf>
    <xf numFmtId="0" fontId="44" fillId="0" borderId="0" xfId="23" applyFont="1" applyFill="1" applyBorder="1" applyAlignment="1">
      <alignment vertical="center"/>
    </xf>
    <xf numFmtId="1" fontId="7" fillId="0" borderId="0" xfId="23" applyNumberFormat="1" applyFont="1" applyFill="1" applyBorder="1" applyAlignment="1">
      <alignment vertical="center" wrapText="1"/>
    </xf>
    <xf numFmtId="0" fontId="7" fillId="0" borderId="0" xfId="0" applyFont="1" applyFill="1" applyBorder="1" applyAlignment="1">
      <alignment vertical="center"/>
    </xf>
    <xf numFmtId="0" fontId="2" fillId="0" borderId="38" xfId="23" applyFont="1" applyFill="1" applyBorder="1" applyAlignment="1">
      <alignment vertical="center"/>
    </xf>
    <xf numFmtId="0" fontId="2" fillId="0" borderId="39" xfId="23" applyFont="1" applyFill="1" applyBorder="1" applyAlignment="1">
      <alignment vertical="center"/>
    </xf>
    <xf numFmtId="0" fontId="2" fillId="0" borderId="7" xfId="23" applyFont="1" applyFill="1" applyBorder="1" applyAlignment="1">
      <alignment vertical="center"/>
    </xf>
    <xf numFmtId="0" fontId="2" fillId="0" borderId="39" xfId="23" applyFont="1" applyFill="1" applyBorder="1" applyAlignment="1">
      <alignment horizontal="center" vertical="center"/>
    </xf>
    <xf numFmtId="0" fontId="12" fillId="0" borderId="7" xfId="23" applyFont="1" applyFill="1" applyBorder="1" applyAlignment="1">
      <alignment vertical="center"/>
    </xf>
    <xf numFmtId="0" fontId="2" fillId="0" borderId="0" xfId="23"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4" fontId="2" fillId="0" borderId="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84" fontId="11"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0" fontId="2" fillId="0" borderId="7" xfId="0" applyFont="1" applyFill="1" applyBorder="1" applyAlignment="1">
      <alignment vertical="center"/>
    </xf>
    <xf numFmtId="184" fontId="2" fillId="0" borderId="7" xfId="0" applyNumberFormat="1" applyFont="1" applyFill="1" applyBorder="1" applyAlignment="1">
      <alignment horizontal="right" vertical="center"/>
    </xf>
    <xf numFmtId="184" fontId="10" fillId="0" borderId="7" xfId="0" applyNumberFormat="1" applyFont="1" applyFill="1" applyBorder="1" applyAlignment="1">
      <alignment horizontal="right" vertical="center"/>
    </xf>
    <xf numFmtId="184"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3" applyFont="1" applyFill="1" applyBorder="1" applyAlignment="1">
      <alignment vertical="center"/>
    </xf>
    <xf numFmtId="0" fontId="46" fillId="0" borderId="0" xfId="23" applyFont="1" applyFill="1" applyBorder="1" applyAlignment="1">
      <alignment vertical="center"/>
    </xf>
    <xf numFmtId="0" fontId="45" fillId="0" borderId="0" xfId="0" applyFont="1" applyFill="1" applyBorder="1" applyAlignment="1">
      <alignment vertical="center"/>
    </xf>
    <xf numFmtId="0" fontId="47" fillId="0" borderId="0" xfId="23" applyFont="1" applyFill="1" applyBorder="1" applyAlignment="1">
      <alignment vertical="center"/>
    </xf>
    <xf numFmtId="0" fontId="48" fillId="0" borderId="0" xfId="23" applyFont="1" applyFill="1" applyBorder="1" applyAlignment="1">
      <alignment vertical="center"/>
    </xf>
    <xf numFmtId="0" fontId="49" fillId="0" borderId="0" xfId="23"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49" fontId="48" fillId="0" borderId="0" xfId="9" applyNumberFormat="1" applyFont="1" applyFill="1" applyBorder="1" applyAlignment="1">
      <alignment horizontal="left" vertical="center" wrapText="1"/>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30" xfId="23" applyFont="1" applyFill="1" applyBorder="1" applyAlignment="1">
      <alignment horizontal="center" vertical="center" wrapText="1"/>
    </xf>
    <xf numFmtId="0" fontId="2" fillId="0" borderId="27" xfId="23" applyFont="1" applyFill="1" applyBorder="1" applyAlignment="1">
      <alignment horizontal="center" vertical="center" wrapText="1"/>
    </xf>
    <xf numFmtId="0" fontId="6" fillId="0" borderId="59" xfId="9" applyFont="1" applyFill="1"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168" fontId="2" fillId="0" borderId="0" xfId="9" applyNumberFormat="1" applyFont="1" applyFill="1" applyBorder="1" applyAlignment="1">
      <alignment horizontal="right" vertical="center" wrapText="1"/>
    </xf>
    <xf numFmtId="0" fontId="2" fillId="0" borderId="0" xfId="0" applyFont="1" applyAlignment="1">
      <alignment horizontal="center"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8" xfId="9" applyFont="1" applyFill="1" applyBorder="1" applyAlignment="1">
      <alignment horizontal="right" vertical="center" wrapText="1"/>
    </xf>
    <xf numFmtId="4" fontId="2" fillId="0" borderId="0" xfId="9" applyNumberFormat="1" applyFont="1" applyFill="1" applyBorder="1" applyAlignment="1">
      <alignment horizontal="center" vertical="center" wrapText="1"/>
    </xf>
    <xf numFmtId="16" fontId="47" fillId="0" borderId="0" xfId="0" applyNumberFormat="1" applyFont="1" applyFill="1" applyBorder="1" applyAlignment="1">
      <alignment vertical="center"/>
    </xf>
    <xf numFmtId="0" fontId="2" fillId="0" borderId="10" xfId="23" applyFont="1" applyFill="1" applyBorder="1" applyAlignment="1">
      <alignment horizontal="center" vertical="center"/>
    </xf>
    <xf numFmtId="0" fontId="49" fillId="0" borderId="0" xfId="0" applyFont="1" applyFill="1"/>
    <xf numFmtId="0" fontId="9" fillId="0" borderId="7" xfId="0" applyFont="1" applyFill="1" applyBorder="1" applyAlignment="1">
      <alignment horizontal="right" vertical="center"/>
    </xf>
    <xf numFmtId="0" fontId="7" fillId="0" borderId="0" xfId="0" applyFont="1" applyFill="1" applyBorder="1"/>
    <xf numFmtId="0" fontId="48" fillId="0" borderId="0" xfId="0" applyFont="1" applyAlignment="1">
      <alignment vertical="center"/>
    </xf>
    <xf numFmtId="0" fontId="2" fillId="0" borderId="0" xfId="0" applyFont="1" applyAlignment="1">
      <alignment vertical="center"/>
    </xf>
    <xf numFmtId="0" fontId="2" fillId="0" borderId="0" xfId="0" applyFont="1"/>
    <xf numFmtId="0" fontId="44" fillId="0" borderId="3" xfId="23" applyFont="1" applyFill="1" applyBorder="1" applyAlignment="1">
      <alignment vertical="center"/>
    </xf>
    <xf numFmtId="0" fontId="2" fillId="0" borderId="5" xfId="23" applyFont="1" applyFill="1" applyBorder="1" applyAlignment="1">
      <alignment horizontal="center" vertical="center"/>
    </xf>
    <xf numFmtId="0" fontId="2" fillId="0" borderId="5" xfId="23" applyFont="1" applyFill="1" applyBorder="1" applyAlignment="1">
      <alignment vertical="center"/>
    </xf>
    <xf numFmtId="0" fontId="2" fillId="0" borderId="8" xfId="23" applyFont="1" applyFill="1" applyBorder="1" applyAlignment="1">
      <alignment vertical="center"/>
    </xf>
    <xf numFmtId="0" fontId="44" fillId="0" borderId="16" xfId="23" applyFont="1" applyFill="1" applyBorder="1" applyAlignment="1">
      <alignment vertical="center"/>
    </xf>
    <xf numFmtId="0" fontId="7" fillId="0" borderId="0" xfId="49" applyFont="1" applyAlignment="1">
      <alignment vertical="center"/>
    </xf>
    <xf numFmtId="4" fontId="6" fillId="0" borderId="7" xfId="9" applyNumberFormat="1" applyFont="1" applyFill="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Fill="1" applyBorder="1" applyAlignment="1">
      <alignment horizontal="right" vertical="center"/>
    </xf>
    <xf numFmtId="184" fontId="7" fillId="0" borderId="0" xfId="49" applyNumberFormat="1" applyFont="1" applyBorder="1" applyAlignment="1">
      <alignment horizontal="center" vertical="center"/>
    </xf>
    <xf numFmtId="0" fontId="2" fillId="0" borderId="0" xfId="9" applyFont="1" applyFill="1" applyBorder="1" applyAlignment="1">
      <alignment vertical="center" wrapText="1"/>
    </xf>
    <xf numFmtId="0" fontId="2" fillId="0" borderId="18" xfId="0" applyFont="1" applyBorder="1" applyAlignment="1">
      <alignment horizontal="center" vertical="center"/>
    </xf>
    <xf numFmtId="1" fontId="2" fillId="0" borderId="9" xfId="12" applyNumberFormat="1" applyFont="1" applyFill="1" applyBorder="1" applyAlignment="1">
      <alignment horizontal="center" vertical="center" wrapText="1"/>
    </xf>
    <xf numFmtId="46" fontId="2" fillId="0" borderId="9" xfId="13" applyNumberFormat="1" applyFont="1" applyFill="1" applyBorder="1" applyAlignment="1">
      <alignment horizontal="center" vertical="center" wrapText="1"/>
    </xf>
    <xf numFmtId="0" fontId="2" fillId="0" borderId="9" xfId="16" applyFont="1" applyFill="1" applyBorder="1" applyAlignment="1">
      <alignment horizontal="center" vertical="center" wrapText="1"/>
    </xf>
    <xf numFmtId="0" fontId="2" fillId="0" borderId="18" xfId="1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9" xfId="9" applyFont="1" applyFill="1" applyBorder="1" applyAlignment="1">
      <alignment horizontal="center" vertical="center" wrapText="1"/>
    </xf>
    <xf numFmtId="167" fontId="2" fillId="0" borderId="0" xfId="23" applyNumberFormat="1" applyFont="1" applyFill="1" applyBorder="1" applyAlignment="1">
      <alignment horizontal="center" vertical="center"/>
    </xf>
    <xf numFmtId="0" fontId="2" fillId="0" borderId="0" xfId="23" applyFont="1" applyBorder="1" applyAlignment="1">
      <alignment horizontal="right" vertical="center"/>
    </xf>
    <xf numFmtId="184" fontId="2" fillId="0" borderId="0" xfId="1" applyNumberFormat="1" applyFont="1" applyBorder="1" applyAlignment="1">
      <alignment vertical="center"/>
    </xf>
    <xf numFmtId="164" fontId="2" fillId="0" borderId="0"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4"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8" fontId="2" fillId="2" borderId="0" xfId="0" applyNumberFormat="1" applyFont="1" applyFill="1" applyBorder="1" applyAlignment="1">
      <alignment horizontal="center" vertical="center"/>
    </xf>
    <xf numFmtId="0" fontId="55"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7"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7" fillId="0" borderId="0" xfId="0" applyFont="1" applyBorder="1" applyAlignment="1">
      <alignment vertical="center"/>
    </xf>
    <xf numFmtId="0" fontId="2" fillId="0" borderId="0" xfId="0" quotePrefix="1" applyFont="1" applyBorder="1" applyAlignment="1">
      <alignment vertical="center"/>
    </xf>
    <xf numFmtId="0" fontId="2" fillId="0" borderId="6" xfId="0" applyFont="1" applyBorder="1" applyAlignment="1">
      <alignment vertical="center"/>
    </xf>
    <xf numFmtId="0" fontId="56"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0" fontId="7" fillId="0" borderId="0" xfId="0" applyFont="1" applyFill="1" applyAlignment="1">
      <alignment vertical="center"/>
    </xf>
    <xf numFmtId="10" fontId="2" fillId="0" borderId="0" xfId="17"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Border="1" applyAlignment="1">
      <alignment vertical="center"/>
    </xf>
    <xf numFmtId="0" fontId="54" fillId="0" borderId="0" xfId="0" applyFont="1" applyFill="1" applyBorder="1" applyAlignment="1">
      <alignment vertical="center"/>
    </xf>
    <xf numFmtId="0" fontId="2" fillId="0" borderId="0" xfId="0" applyFont="1" applyBorder="1" applyAlignment="1">
      <alignment horizontal="right" vertical="center"/>
    </xf>
    <xf numFmtId="1" fontId="2" fillId="2" borderId="0" xfId="0" applyNumberFormat="1" applyFont="1" applyFill="1" applyBorder="1" applyAlignment="1">
      <alignment vertical="center"/>
    </xf>
    <xf numFmtId="0" fontId="11" fillId="0" borderId="0" xfId="0" quotePrefix="1" applyFont="1" applyFill="1" applyBorder="1" applyAlignment="1">
      <alignment vertical="center"/>
    </xf>
    <xf numFmtId="174" fontId="2" fillId="2" borderId="0"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7" fillId="0" borderId="0" xfId="0" applyFont="1" applyBorder="1" applyAlignment="1">
      <alignment vertical="center"/>
    </xf>
    <xf numFmtId="164" fontId="2" fillId="0" borderId="5" xfId="0" applyNumberFormat="1" applyFont="1" applyBorder="1" applyAlignment="1">
      <alignment vertical="center"/>
    </xf>
    <xf numFmtId="0" fontId="6" fillId="0" borderId="0" xfId="18" applyFont="1" applyFill="1" applyBorder="1" applyAlignment="1">
      <alignment horizontal="center" vertical="center" wrapText="1"/>
    </xf>
    <xf numFmtId="0" fontId="6" fillId="0" borderId="0" xfId="20"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8" fillId="0" borderId="0" xfId="20" applyFont="1" applyFill="1" applyBorder="1" applyAlignment="1">
      <alignment horizontal="left" vertical="center" wrapText="1"/>
    </xf>
    <xf numFmtId="0" fontId="58" fillId="0" borderId="0" xfId="22" applyFont="1" applyFill="1" applyBorder="1" applyAlignment="1">
      <alignment horizontal="right" vertical="center" wrapText="1"/>
    </xf>
    <xf numFmtId="0" fontId="47" fillId="0" borderId="0" xfId="20"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8"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49" fontId="2" fillId="0" borderId="0" xfId="9" applyNumberFormat="1" applyFont="1" applyFill="1" applyBorder="1" applyAlignment="1">
      <alignment horizontal="left" vertical="center" wrapText="1"/>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8"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6" applyFont="1" applyFill="1" applyBorder="1" applyAlignment="1">
      <alignment horizontal="right" vertical="center" wrapText="1"/>
    </xf>
    <xf numFmtId="0" fontId="59" fillId="0" borderId="0" xfId="0" applyFont="1" applyFill="1" applyBorder="1" applyAlignment="1">
      <alignment vertical="center"/>
    </xf>
    <xf numFmtId="0" fontId="60" fillId="0" borderId="0" xfId="8" applyFont="1" applyFill="1" applyBorder="1" applyAlignment="1">
      <alignment horizontal="left" vertical="center"/>
    </xf>
    <xf numFmtId="165" fontId="60" fillId="0" borderId="0" xfId="26" applyFont="1" applyFill="1" applyBorder="1" applyAlignment="1">
      <alignment horizontal="right" vertical="center" wrapText="1"/>
    </xf>
    <xf numFmtId="4" fontId="59"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1" applyFont="1" applyFill="1" applyBorder="1" applyAlignment="1">
      <alignment horizontal="center" vertical="center" wrapText="1"/>
    </xf>
    <xf numFmtId="49" fontId="6" fillId="0" borderId="0" xfId="20" applyNumberFormat="1" applyFont="1" applyFill="1" applyBorder="1" applyAlignment="1">
      <alignment horizontal="center" vertical="center" wrapText="1"/>
    </xf>
    <xf numFmtId="0" fontId="61" fillId="0" borderId="0" xfId="22" applyFont="1" applyFill="1" applyBorder="1" applyAlignment="1">
      <alignment horizontal="left" vertical="center" wrapText="1"/>
    </xf>
    <xf numFmtId="0" fontId="61" fillId="0" borderId="0" xfId="18" applyFont="1" applyFill="1" applyBorder="1" applyAlignment="1">
      <alignment horizontal="right" vertical="center" wrapText="1"/>
    </xf>
    <xf numFmtId="0" fontId="61" fillId="0" borderId="0" xfId="20" applyFont="1" applyFill="1" applyBorder="1" applyAlignment="1">
      <alignment horizontal="left" vertical="center" wrapText="1"/>
    </xf>
    <xf numFmtId="0" fontId="61" fillId="0" borderId="0" xfId="22"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49" fontId="2" fillId="0" borderId="0" xfId="0" applyNumberFormat="1" applyFont="1" applyFill="1" applyAlignment="1">
      <alignment vertical="center"/>
    </xf>
    <xf numFmtId="0" fontId="4" fillId="0" borderId="0" xfId="2" applyFont="1" applyFill="1" applyAlignment="1" applyProtection="1">
      <alignment vertical="center"/>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10" fontId="6" fillId="0" borderId="0" xfId="17" applyNumberFormat="1" applyFont="1" applyFill="1" applyBorder="1" applyAlignment="1">
      <alignment vertical="center"/>
    </xf>
    <xf numFmtId="165" fontId="6" fillId="0" borderId="0" xfId="3" applyFont="1" applyFill="1" applyBorder="1" applyAlignment="1">
      <alignment horizontal="right" vertical="center" wrapText="1"/>
    </xf>
    <xf numFmtId="165" fontId="60" fillId="0" borderId="0" xfId="3" applyFont="1" applyFill="1" applyBorder="1" applyAlignment="1">
      <alignment horizontal="right" vertical="center" wrapText="1"/>
    </xf>
    <xf numFmtId="0" fontId="2" fillId="0" borderId="1" xfId="23" applyFont="1" applyFill="1" applyBorder="1" applyAlignment="1">
      <alignment vertical="center"/>
    </xf>
    <xf numFmtId="0" fontId="2" fillId="0" borderId="2" xfId="23" applyFont="1" applyFill="1" applyBorder="1" applyAlignment="1">
      <alignment vertical="center"/>
    </xf>
    <xf numFmtId="0" fontId="2" fillId="0" borderId="3" xfId="23" applyFont="1" applyFill="1" applyBorder="1" applyAlignment="1">
      <alignment vertical="center"/>
    </xf>
    <xf numFmtId="0" fontId="2" fillId="0" borderId="0" xfId="23" applyFont="1" applyFill="1" applyAlignment="1">
      <alignment vertical="center"/>
    </xf>
    <xf numFmtId="0" fontId="2" fillId="0" borderId="4" xfId="23" applyFont="1" applyBorder="1" applyAlignment="1">
      <alignment vertical="center"/>
    </xf>
    <xf numFmtId="0" fontId="9" fillId="0" borderId="0" xfId="23" applyFont="1" applyBorder="1" applyAlignment="1">
      <alignment vertical="center"/>
    </xf>
    <xf numFmtId="0" fontId="2" fillId="2" borderId="1" xfId="23" applyFont="1" applyFill="1" applyBorder="1" applyAlignment="1">
      <alignment horizontal="right" vertical="center"/>
    </xf>
    <xf numFmtId="0" fontId="2" fillId="2" borderId="2" xfId="23" applyFont="1" applyFill="1" applyBorder="1" applyAlignment="1">
      <alignment vertical="center"/>
    </xf>
    <xf numFmtId="14" fontId="2" fillId="2" borderId="2" xfId="23" applyNumberFormat="1" applyFont="1" applyFill="1" applyBorder="1" applyAlignment="1">
      <alignment horizontal="center" vertical="center"/>
    </xf>
    <xf numFmtId="0" fontId="2" fillId="2" borderId="3" xfId="23" applyFont="1" applyFill="1" applyBorder="1" applyAlignment="1">
      <alignment vertical="center"/>
    </xf>
    <xf numFmtId="14" fontId="7" fillId="0" borderId="0" xfId="23" applyNumberFormat="1" applyFont="1" applyBorder="1" applyAlignment="1">
      <alignment horizontal="center" vertical="center"/>
    </xf>
    <xf numFmtId="0" fontId="2" fillId="0" borderId="5" xfId="23" applyFont="1" applyBorder="1" applyAlignment="1">
      <alignment vertical="center"/>
    </xf>
    <xf numFmtId="0" fontId="2" fillId="0" borderId="0" xfId="23" applyFont="1" applyAlignment="1">
      <alignment vertical="center"/>
    </xf>
    <xf numFmtId="0" fontId="2" fillId="2" borderId="4" xfId="23" applyFont="1" applyFill="1" applyBorder="1" applyAlignment="1">
      <alignment horizontal="right" vertical="center"/>
    </xf>
    <xf numFmtId="0" fontId="2" fillId="2" borderId="0" xfId="23" applyFont="1" applyFill="1" applyBorder="1" applyAlignment="1">
      <alignment vertical="center"/>
    </xf>
    <xf numFmtId="14" fontId="2" fillId="2" borderId="0" xfId="23" applyNumberFormat="1" applyFont="1" applyFill="1" applyBorder="1" applyAlignment="1">
      <alignment horizontal="center" vertical="center"/>
    </xf>
    <xf numFmtId="0" fontId="2" fillId="2" borderId="5" xfId="23" applyFont="1" applyFill="1" applyBorder="1" applyAlignment="1">
      <alignment vertical="center"/>
    </xf>
    <xf numFmtId="0" fontId="7" fillId="0" borderId="0" xfId="23" applyFont="1" applyBorder="1" applyAlignment="1">
      <alignment horizontal="center" vertical="center"/>
    </xf>
    <xf numFmtId="0" fontId="54" fillId="0" borderId="0" xfId="23" applyFont="1" applyFill="1" applyBorder="1" applyAlignment="1">
      <alignment vertical="center"/>
    </xf>
    <xf numFmtId="1" fontId="2" fillId="2" borderId="0" xfId="23" applyNumberFormat="1" applyFont="1" applyFill="1" applyBorder="1" applyAlignment="1">
      <alignment horizontal="center" vertical="center"/>
    </xf>
    <xf numFmtId="0" fontId="2" fillId="2" borderId="0" xfId="23" applyFont="1" applyFill="1" applyBorder="1" applyAlignment="1">
      <alignment horizontal="right" vertical="center"/>
    </xf>
    <xf numFmtId="0" fontId="2" fillId="2" borderId="5" xfId="23" applyFont="1" applyFill="1" applyBorder="1" applyAlignment="1">
      <alignment horizontal="center" vertical="center"/>
    </xf>
    <xf numFmtId="0" fontId="11" fillId="0" borderId="0" xfId="23" quotePrefix="1" applyFont="1" applyFill="1" applyBorder="1" applyAlignment="1">
      <alignment vertical="center"/>
    </xf>
    <xf numFmtId="0" fontId="55" fillId="0" borderId="0" xfId="23" quotePrefix="1" applyFont="1" applyFill="1" applyBorder="1" applyAlignment="1">
      <alignment vertical="center"/>
    </xf>
    <xf numFmtId="14" fontId="2" fillId="2" borderId="4" xfId="23" applyNumberFormat="1" applyFont="1" applyFill="1" applyBorder="1" applyAlignment="1">
      <alignment horizontal="right" vertical="center"/>
    </xf>
    <xf numFmtId="0" fontId="2" fillId="2" borderId="0" xfId="23" applyFont="1" applyFill="1" applyBorder="1" applyAlignment="1">
      <alignment horizontal="center" vertical="center"/>
    </xf>
    <xf numFmtId="14" fontId="2" fillId="2" borderId="5" xfId="23" applyNumberFormat="1" applyFont="1" applyFill="1" applyBorder="1" applyAlignment="1">
      <alignment horizontal="center" vertical="center"/>
    </xf>
    <xf numFmtId="0" fontId="11" fillId="0" borderId="5" xfId="23" applyFont="1" applyBorder="1" applyAlignment="1">
      <alignment vertical="center"/>
    </xf>
    <xf numFmtId="14" fontId="2" fillId="2" borderId="6" xfId="23" applyNumberFormat="1" applyFont="1" applyFill="1" applyBorder="1" applyAlignment="1">
      <alignment horizontal="right" vertical="center"/>
    </xf>
    <xf numFmtId="14" fontId="2" fillId="2" borderId="7" xfId="23" applyNumberFormat="1" applyFont="1" applyFill="1" applyBorder="1" applyAlignment="1">
      <alignment horizontal="center" vertical="center"/>
    </xf>
    <xf numFmtId="0" fontId="2" fillId="2" borderId="7" xfId="23" applyFont="1" applyFill="1" applyBorder="1" applyAlignment="1">
      <alignment vertical="center"/>
    </xf>
    <xf numFmtId="0" fontId="2" fillId="2" borderId="8" xfId="23" applyFont="1" applyFill="1" applyBorder="1" applyAlignment="1">
      <alignment vertical="center"/>
    </xf>
    <xf numFmtId="0" fontId="2" fillId="0" borderId="0" xfId="23" applyFont="1" applyBorder="1" applyAlignment="1">
      <alignment horizontal="center" vertical="center"/>
    </xf>
    <xf numFmtId="171" fontId="7" fillId="0" borderId="0" xfId="23" applyNumberFormat="1" applyFont="1" applyBorder="1" applyAlignment="1">
      <alignment horizontal="center" vertical="center"/>
    </xf>
    <xf numFmtId="0" fontId="7" fillId="0" borderId="5" xfId="23" applyFont="1" applyBorder="1" applyAlignment="1">
      <alignment vertical="center"/>
    </xf>
    <xf numFmtId="164" fontId="2" fillId="0" borderId="0" xfId="23" applyNumberFormat="1" applyFont="1" applyBorder="1" applyAlignment="1">
      <alignment vertical="center"/>
    </xf>
    <xf numFmtId="0" fontId="57" fillId="0" borderId="0" xfId="23" applyFont="1" applyBorder="1" applyAlignment="1">
      <alignment vertical="center"/>
    </xf>
    <xf numFmtId="0" fontId="62" fillId="0" borderId="0" xfId="23" applyFont="1" applyBorder="1" applyAlignment="1">
      <alignment vertical="center"/>
    </xf>
    <xf numFmtId="164" fontId="2" fillId="0" borderId="5" xfId="23" applyNumberFormat="1" applyFont="1" applyBorder="1" applyAlignment="1">
      <alignment vertical="center"/>
    </xf>
    <xf numFmtId="0" fontId="62" fillId="0" borderId="0" xfId="23" applyFont="1" applyFill="1" applyBorder="1" applyAlignment="1">
      <alignment vertical="center"/>
    </xf>
    <xf numFmtId="0" fontId="9" fillId="0" borderId="0" xfId="23" applyFont="1" applyFill="1" applyBorder="1" applyAlignment="1">
      <alignment vertical="center"/>
    </xf>
    <xf numFmtId="0" fontId="2" fillId="0" borderId="0" xfId="21" applyFont="1" applyFill="1" applyBorder="1" applyAlignment="1">
      <alignment horizontal="center" vertical="center" wrapText="1"/>
    </xf>
    <xf numFmtId="0" fontId="2" fillId="0" borderId="0" xfId="18" applyFont="1" applyFill="1" applyBorder="1" applyAlignment="1">
      <alignment horizontal="center" vertical="center" wrapText="1"/>
    </xf>
    <xf numFmtId="0" fontId="2" fillId="0" borderId="0" xfId="20" applyFont="1" applyFill="1" applyBorder="1" applyAlignment="1">
      <alignment horizontal="center" vertical="center" wrapText="1"/>
    </xf>
    <xf numFmtId="164" fontId="2" fillId="0" borderId="0" xfId="23" applyNumberFormat="1" applyFont="1" applyFill="1" applyBorder="1" applyAlignment="1">
      <alignment vertical="center"/>
    </xf>
    <xf numFmtId="0" fontId="2" fillId="0" borderId="0" xfId="20" applyFont="1" applyFill="1" applyBorder="1" applyAlignment="1">
      <alignment horizontal="left" vertical="center"/>
    </xf>
    <xf numFmtId="0" fontId="63" fillId="0" borderId="0" xfId="22" applyFont="1" applyFill="1" applyBorder="1" applyAlignment="1">
      <alignment horizontal="left" vertical="center" wrapText="1"/>
    </xf>
    <xf numFmtId="0" fontId="63" fillId="0" borderId="0" xfId="18" applyFont="1" applyFill="1" applyBorder="1" applyAlignment="1">
      <alignment horizontal="right" vertical="center" wrapText="1"/>
    </xf>
    <xf numFmtId="0" fontId="63" fillId="0" borderId="0" xfId="20" applyFont="1" applyFill="1" applyBorder="1" applyAlignment="1">
      <alignment horizontal="right" vertical="center" wrapText="1"/>
    </xf>
    <xf numFmtId="0" fontId="63" fillId="0" borderId="0" xfId="22" applyFont="1" applyFill="1" applyBorder="1" applyAlignment="1">
      <alignment horizontal="right" vertical="center" wrapText="1"/>
    </xf>
    <xf numFmtId="0" fontId="2" fillId="0" borderId="4" xfId="23"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3" applyFont="1" applyFill="1" applyBorder="1" applyAlignment="1">
      <alignment vertical="center"/>
    </xf>
    <xf numFmtId="0" fontId="2" fillId="2" borderId="30" xfId="23" applyFont="1" applyFill="1" applyBorder="1" applyAlignment="1">
      <alignment horizontal="center" vertical="center"/>
    </xf>
    <xf numFmtId="0" fontId="2" fillId="2" borderId="36" xfId="23" applyFont="1" applyFill="1" applyBorder="1" applyAlignment="1">
      <alignment horizontal="center" vertical="center" wrapText="1"/>
    </xf>
    <xf numFmtId="0" fontId="2" fillId="0" borderId="59" xfId="23" applyFont="1" applyFill="1" applyBorder="1" applyAlignment="1">
      <alignment vertical="center"/>
    </xf>
    <xf numFmtId="0" fontId="44" fillId="0" borderId="0" xfId="23" applyFont="1" applyFill="1" applyBorder="1" applyAlignment="1">
      <alignment horizontal="center" vertical="center"/>
    </xf>
    <xf numFmtId="0" fontId="44" fillId="0" borderId="1" xfId="23" applyFont="1" applyFill="1" applyBorder="1" applyAlignment="1">
      <alignment horizontal="center" vertical="center"/>
    </xf>
    <xf numFmtId="0" fontId="44" fillId="0" borderId="2" xfId="23" applyFont="1" applyFill="1" applyBorder="1" applyAlignment="1">
      <alignment horizontal="center" vertical="center"/>
    </xf>
    <xf numFmtId="0" fontId="44" fillId="0" borderId="3" xfId="23" applyFont="1" applyFill="1" applyBorder="1" applyAlignment="1">
      <alignment horizontal="center" vertical="center"/>
    </xf>
    <xf numFmtId="0" fontId="2" fillId="0" borderId="60" xfId="23" applyFont="1" applyFill="1" applyBorder="1" applyAlignment="1">
      <alignment horizontal="center" vertical="center"/>
    </xf>
    <xf numFmtId="0" fontId="2" fillId="0" borderId="10" xfId="23" applyFont="1" applyFill="1" applyBorder="1" applyAlignment="1">
      <alignment vertical="center" wrapText="1"/>
    </xf>
    <xf numFmtId="0" fontId="2" fillId="0" borderId="41" xfId="23" applyFont="1" applyFill="1" applyBorder="1" applyAlignment="1">
      <alignment horizontal="center" vertical="center"/>
    </xf>
    <xf numFmtId="0" fontId="2" fillId="0" borderId="4" xfId="23" quotePrefix="1" applyFont="1" applyFill="1" applyBorder="1" applyAlignment="1">
      <alignment horizontal="center" vertical="center"/>
    </xf>
    <xf numFmtId="4" fontId="2" fillId="0" borderId="0" xfId="10" applyNumberFormat="1" applyFont="1" applyFill="1" applyBorder="1" applyAlignment="1">
      <alignment horizontal="center" vertical="center" wrapText="1"/>
    </xf>
    <xf numFmtId="10" fontId="2" fillId="0" borderId="4" xfId="10" applyNumberFormat="1" applyFont="1" applyFill="1" applyBorder="1" applyAlignment="1">
      <alignment horizontal="center" vertical="center" wrapText="1"/>
    </xf>
    <xf numFmtId="0" fontId="7" fillId="0" borderId="18" xfId="23" applyFont="1" applyFill="1" applyBorder="1" applyAlignment="1">
      <alignment vertical="center"/>
    </xf>
    <xf numFmtId="0" fontId="2" fillId="0" borderId="42" xfId="23" applyFont="1" applyFill="1" applyBorder="1" applyAlignment="1">
      <alignment vertical="center"/>
    </xf>
    <xf numFmtId="0" fontId="2" fillId="0" borderId="11" xfId="23" applyFont="1" applyFill="1" applyBorder="1" applyAlignment="1">
      <alignment horizontal="center" vertical="center"/>
    </xf>
    <xf numFmtId="0" fontId="2" fillId="2" borderId="57" xfId="23" applyFont="1" applyFill="1" applyBorder="1" applyAlignment="1">
      <alignment vertical="center"/>
    </xf>
    <xf numFmtId="0" fontId="2" fillId="2" borderId="34" xfId="23" applyFont="1" applyFill="1" applyBorder="1" applyAlignment="1">
      <alignment vertical="center"/>
    </xf>
    <xf numFmtId="0" fontId="2" fillId="2" borderId="61" xfId="23" applyFont="1" applyFill="1" applyBorder="1" applyAlignment="1">
      <alignment vertical="center"/>
    </xf>
    <xf numFmtId="184"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Border="1" applyAlignment="1">
      <alignment vertical="center"/>
    </xf>
    <xf numFmtId="164" fontId="2" fillId="0" borderId="0" xfId="1" applyFont="1" applyFill="1" applyBorder="1" applyAlignment="1">
      <alignment horizontal="right" vertical="center"/>
    </xf>
    <xf numFmtId="0" fontId="2" fillId="0" borderId="6" xfId="23"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3" applyNumberFormat="1" applyFont="1" applyBorder="1" applyAlignment="1">
      <alignment vertical="center"/>
    </xf>
    <xf numFmtId="0" fontId="2" fillId="0" borderId="7" xfId="23" applyFont="1" applyBorder="1" applyAlignment="1">
      <alignment vertical="center"/>
    </xf>
    <xf numFmtId="0" fontId="2" fillId="0" borderId="8" xfId="23" applyFont="1" applyBorder="1" applyAlignment="1">
      <alignment vertical="center"/>
    </xf>
    <xf numFmtId="0" fontId="6" fillId="0" borderId="0" xfId="23" applyFont="1" applyFill="1" applyBorder="1" applyAlignment="1">
      <alignment vertical="center"/>
    </xf>
    <xf numFmtId="4" fontId="6" fillId="0" borderId="0" xfId="23" applyNumberFormat="1" applyFont="1" applyFill="1" applyBorder="1" applyAlignment="1">
      <alignment vertical="center"/>
    </xf>
    <xf numFmtId="3" fontId="6" fillId="0" borderId="0" xfId="23" applyNumberFormat="1" applyFont="1" applyFill="1" applyBorder="1" applyAlignment="1">
      <alignment vertical="center"/>
    </xf>
    <xf numFmtId="0" fontId="59" fillId="0" borderId="0" xfId="23" applyFont="1" applyFill="1" applyBorder="1" applyAlignment="1">
      <alignment vertical="center"/>
    </xf>
    <xf numFmtId="4" fontId="59" fillId="0" borderId="0" xfId="23" applyNumberFormat="1" applyFont="1" applyFill="1" applyBorder="1" applyAlignment="1">
      <alignment vertical="center"/>
    </xf>
    <xf numFmtId="4" fontId="2" fillId="0" borderId="0" xfId="23" applyNumberFormat="1" applyFont="1" applyFill="1" applyBorder="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quotePrefix="1" applyFont="1" applyBorder="1" applyAlignment="1">
      <alignment vertical="center"/>
    </xf>
    <xf numFmtId="0" fontId="54" fillId="0" borderId="0" xfId="23" applyFont="1" applyBorder="1" applyAlignment="1">
      <alignment vertical="center"/>
    </xf>
    <xf numFmtId="0" fontId="11" fillId="0" borderId="0" xfId="23" applyFont="1" applyAlignment="1">
      <alignment vertical="center"/>
    </xf>
    <xf numFmtId="0" fontId="7" fillId="0" borderId="0" xfId="23" applyFont="1" applyAlignment="1">
      <alignment vertical="center"/>
    </xf>
    <xf numFmtId="164" fontId="2" fillId="0" borderId="0" xfId="23" applyNumberFormat="1" applyFont="1" applyAlignment="1">
      <alignment vertical="center"/>
    </xf>
    <xf numFmtId="1" fontId="9" fillId="0" borderId="0" xfId="23" applyNumberFormat="1" applyFont="1" applyFill="1" applyBorder="1" applyAlignment="1">
      <alignment vertical="center"/>
    </xf>
    <xf numFmtId="0" fontId="25" fillId="0" borderId="0" xfId="18" applyFont="1" applyFill="1" applyBorder="1" applyAlignment="1">
      <alignment horizontal="center" vertical="center" wrapText="1"/>
    </xf>
    <xf numFmtId="0" fontId="25" fillId="0" borderId="0" xfId="20" applyFont="1" applyFill="1" applyBorder="1" applyAlignment="1">
      <alignment horizontal="center" vertical="center" wrapText="1"/>
    </xf>
    <xf numFmtId="0" fontId="64" fillId="0" borderId="0" xfId="20" applyFont="1" applyFill="1" applyBorder="1" applyAlignment="1">
      <alignment horizontal="left" vertical="center" wrapText="1"/>
    </xf>
    <xf numFmtId="0" fontId="64" fillId="0" borderId="0" xfId="22"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3" applyFont="1" applyFill="1" applyAlignment="1">
      <alignment vertical="center"/>
    </xf>
    <xf numFmtId="0" fontId="65"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Border="1" applyAlignment="1">
      <alignment vertical="center"/>
    </xf>
    <xf numFmtId="0" fontId="46" fillId="0" borderId="0" xfId="23" applyFont="1" applyBorder="1" applyAlignment="1">
      <alignment vertical="center"/>
    </xf>
    <xf numFmtId="0" fontId="12" fillId="0" borderId="0" xfId="23" applyFont="1" applyBorder="1" applyAlignment="1">
      <alignment vertical="center"/>
    </xf>
    <xf numFmtId="0" fontId="2" fillId="0" borderId="6" xfId="23"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3" applyNumberFormat="1" applyFont="1" applyFill="1" applyBorder="1" applyAlignment="1">
      <alignment vertical="center"/>
    </xf>
    <xf numFmtId="14" fontId="2" fillId="2" borderId="2" xfId="23" applyNumberFormat="1" applyFont="1" applyFill="1" applyBorder="1" applyAlignment="1">
      <alignment vertical="center"/>
    </xf>
    <xf numFmtId="14" fontId="2" fillId="2" borderId="0" xfId="23" applyNumberFormat="1" applyFont="1" applyFill="1" applyBorder="1" applyAlignment="1">
      <alignment vertical="center"/>
    </xf>
    <xf numFmtId="1" fontId="2" fillId="2" borderId="0" xfId="23" applyNumberFormat="1" applyFont="1" applyFill="1" applyBorder="1" applyAlignment="1">
      <alignment vertical="center"/>
    </xf>
    <xf numFmtId="174" fontId="2" fillId="2" borderId="0" xfId="23" applyNumberFormat="1" applyFont="1" applyFill="1" applyBorder="1" applyAlignment="1">
      <alignment horizontal="center" vertical="center"/>
    </xf>
    <xf numFmtId="0" fontId="7" fillId="2" borderId="7" xfId="23" applyFont="1" applyFill="1" applyBorder="1" applyAlignment="1">
      <alignment horizontal="center" vertical="center"/>
    </xf>
    <xf numFmtId="0" fontId="2" fillId="0" borderId="0" xfId="49" applyFont="1"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2" fillId="0" borderId="0" xfId="0" applyFont="1" applyBorder="1" applyAlignment="1">
      <alignment vertical="center"/>
    </xf>
    <xf numFmtId="0" fontId="62"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5" applyFont="1" applyFill="1" applyBorder="1" applyAlignment="1">
      <alignment horizontal="center" vertical="center"/>
    </xf>
    <xf numFmtId="184" fontId="2" fillId="0" borderId="0" xfId="116" applyNumberFormat="1" applyFont="1" applyBorder="1" applyAlignment="1">
      <alignment horizontal="right" vertical="center"/>
    </xf>
    <xf numFmtId="0" fontId="2" fillId="0" borderId="0" xfId="0" applyFont="1" applyFill="1" applyBorder="1" applyAlignment="1">
      <alignment horizontal="left" vertical="center"/>
    </xf>
    <xf numFmtId="184" fontId="2" fillId="0" borderId="64" xfId="116" applyNumberFormat="1" applyFont="1" applyFill="1" applyBorder="1" applyAlignment="1">
      <alignment horizontal="right" vertical="center"/>
    </xf>
    <xf numFmtId="184" fontId="2" fillId="0" borderId="0" xfId="116"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Fill="1" applyBorder="1" applyAlignment="1">
      <alignment horizontal="right" vertical="center" wrapText="1"/>
    </xf>
    <xf numFmtId="0" fontId="9" fillId="0" borderId="2" xfId="0" applyFont="1" applyBorder="1" applyAlignment="1">
      <alignment vertical="center"/>
    </xf>
    <xf numFmtId="0" fontId="6" fillId="0" borderId="2" xfId="21" applyFont="1" applyFill="1" applyBorder="1" applyAlignment="1">
      <alignment horizontal="center" vertical="center" wrapText="1"/>
    </xf>
    <xf numFmtId="0" fontId="6" fillId="0" borderId="2" xfId="18" applyFont="1" applyFill="1" applyBorder="1" applyAlignment="1">
      <alignment horizontal="center" vertical="center" wrapText="1"/>
    </xf>
    <xf numFmtId="0" fontId="6" fillId="0" borderId="2" xfId="20" applyFont="1" applyFill="1" applyBorder="1" applyAlignment="1">
      <alignment horizontal="center" vertical="center" wrapText="1"/>
    </xf>
    <xf numFmtId="0" fontId="6" fillId="0" borderId="2" xfId="20" applyFont="1" applyFill="1" applyBorder="1" applyAlignment="1">
      <alignment horizontal="right" vertical="center" wrapText="1"/>
    </xf>
    <xf numFmtId="164" fontId="2" fillId="0" borderId="2" xfId="0" applyNumberFormat="1" applyFont="1" applyFill="1" applyBorder="1" applyAlignment="1">
      <alignment vertical="center"/>
    </xf>
    <xf numFmtId="10" fontId="2" fillId="0" borderId="0" xfId="10" applyNumberFormat="1" applyFont="1" applyFill="1" applyBorder="1" applyAlignment="1">
      <alignment horizontal="left" vertical="center" wrapText="1"/>
    </xf>
    <xf numFmtId="0" fontId="2" fillId="0" borderId="0" xfId="0" applyFont="1" applyBorder="1" applyAlignment="1">
      <alignment vertical="center" wrapText="1"/>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5"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60" fillId="0" borderId="0" xfId="115" applyFont="1" applyFill="1" applyBorder="1" applyAlignment="1">
      <alignment horizontal="right" vertical="center" wrapText="1"/>
    </xf>
    <xf numFmtId="0" fontId="2" fillId="0" borderId="0" xfId="0" applyFont="1" applyFill="1" applyAlignment="1">
      <alignment horizontal="right" vertical="center"/>
    </xf>
    <xf numFmtId="0" fontId="2" fillId="0" borderId="1" xfId="49" applyFont="1" applyFill="1" applyBorder="1" applyAlignment="1">
      <alignment vertical="center"/>
    </xf>
    <xf numFmtId="0" fontId="2" fillId="0" borderId="2" xfId="49" applyFont="1" applyBorder="1" applyAlignment="1">
      <alignment vertical="center"/>
    </xf>
    <xf numFmtId="0" fontId="2" fillId="0" borderId="3" xfId="49" applyFont="1" applyBorder="1" applyAlignment="1">
      <alignment vertical="center"/>
    </xf>
    <xf numFmtId="0" fontId="2" fillId="0" borderId="4" xfId="49" applyFont="1" applyBorder="1" applyAlignment="1">
      <alignment vertical="center"/>
    </xf>
    <xf numFmtId="0" fontId="2" fillId="0" borderId="0" xfId="49" applyFont="1"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ont="1" applyFill="1" applyBorder="1" applyAlignment="1">
      <alignment horizontal="right" vertical="center"/>
    </xf>
    <xf numFmtId="0" fontId="2" fillId="2" borderId="2" xfId="49" applyFont="1" applyFill="1" applyBorder="1" applyAlignment="1">
      <alignment vertical="center"/>
    </xf>
    <xf numFmtId="14" fontId="2" fillId="2" borderId="2" xfId="49" applyNumberFormat="1" applyFont="1" applyFill="1" applyBorder="1" applyAlignment="1">
      <alignment horizontal="center" vertical="center"/>
    </xf>
    <xf numFmtId="0" fontId="2" fillId="2" borderId="3" xfId="49" applyFont="1" applyFill="1" applyBorder="1" applyAlignment="1">
      <alignment vertical="center"/>
    </xf>
    <xf numFmtId="0" fontId="2" fillId="0" borderId="5" xfId="49" applyFont="1" applyFill="1" applyBorder="1" applyAlignment="1">
      <alignment vertical="center"/>
    </xf>
    <xf numFmtId="0" fontId="2" fillId="0" borderId="4" xfId="49" applyFont="1" applyFill="1" applyBorder="1" applyAlignment="1">
      <alignment vertical="center"/>
    </xf>
    <xf numFmtId="0" fontId="9" fillId="0" borderId="4" xfId="49" applyFont="1" applyBorder="1" applyAlignment="1">
      <alignment vertical="center"/>
    </xf>
    <xf numFmtId="0" fontId="9" fillId="0" borderId="0" xfId="49" applyFont="1" applyBorder="1" applyAlignment="1">
      <alignment vertical="center"/>
    </xf>
    <xf numFmtId="0" fontId="2" fillId="2" borderId="4" xfId="49" applyFont="1" applyFill="1" applyBorder="1" applyAlignment="1">
      <alignment horizontal="right" vertical="center"/>
    </xf>
    <xf numFmtId="0" fontId="2" fillId="2" borderId="0" xfId="49" applyFont="1" applyFill="1" applyBorder="1" applyAlignment="1">
      <alignment vertical="center"/>
    </xf>
    <xf numFmtId="14" fontId="2" fillId="2" borderId="0" xfId="49" applyNumberFormat="1" applyFont="1" applyFill="1" applyBorder="1" applyAlignment="1">
      <alignment horizontal="center" vertical="center"/>
    </xf>
    <xf numFmtId="0" fontId="2" fillId="2" borderId="5" xfId="49" applyFont="1" applyFill="1" applyBorder="1" applyAlignment="1">
      <alignment vertical="center"/>
    </xf>
    <xf numFmtId="0" fontId="54" fillId="0" borderId="4" xfId="49" applyFont="1" applyBorder="1" applyAlignment="1">
      <alignment horizontal="right" vertical="center"/>
    </xf>
    <xf numFmtId="0" fontId="2" fillId="0" borderId="0" xfId="49" applyFont="1" applyBorder="1" applyAlignment="1">
      <alignment horizontal="right" vertical="center"/>
    </xf>
    <xf numFmtId="1" fontId="2" fillId="2" borderId="0" xfId="49" applyNumberFormat="1" applyFont="1" applyFill="1" applyBorder="1" applyAlignment="1">
      <alignment horizontal="center" vertical="center"/>
    </xf>
    <xf numFmtId="0" fontId="2" fillId="2" borderId="0" xfId="49" applyFont="1" applyFill="1" applyBorder="1" applyAlignment="1">
      <alignment horizontal="right" vertical="center"/>
    </xf>
    <xf numFmtId="0" fontId="2" fillId="0" borderId="5" xfId="49" applyFont="1" applyFill="1" applyBorder="1" applyAlignment="1">
      <alignment horizontal="center" vertical="center"/>
    </xf>
    <xf numFmtId="0" fontId="2" fillId="0" borderId="4" xfId="49" applyFont="1" applyFill="1" applyBorder="1" applyAlignment="1">
      <alignment horizontal="center" vertical="center"/>
    </xf>
    <xf numFmtId="0" fontId="11" fillId="0" borderId="4" xfId="49" quotePrefix="1" applyFont="1" applyBorder="1" applyAlignment="1">
      <alignment vertical="center"/>
    </xf>
    <xf numFmtId="0" fontId="11" fillId="0" borderId="0" xfId="49" quotePrefix="1" applyFont="1" applyBorder="1" applyAlignment="1">
      <alignment vertical="center"/>
    </xf>
    <xf numFmtId="0" fontId="55" fillId="0" borderId="4" xfId="49" quotePrefix="1" applyFont="1" applyFill="1" applyBorder="1" applyAlignment="1">
      <alignment vertical="center"/>
    </xf>
    <xf numFmtId="0" fontId="54" fillId="0" borderId="0" xfId="49" applyFont="1" applyBorder="1" applyAlignment="1">
      <alignment vertical="center"/>
    </xf>
    <xf numFmtId="0" fontId="2" fillId="2" borderId="0" xfId="49" applyFont="1" applyFill="1" applyBorder="1" applyAlignment="1">
      <alignment horizontal="center" vertical="center"/>
    </xf>
    <xf numFmtId="0" fontId="2" fillId="2" borderId="5" xfId="49" applyFont="1" applyFill="1" applyBorder="1" applyAlignment="1">
      <alignment horizontal="center" vertical="center"/>
    </xf>
    <xf numFmtId="165" fontId="2" fillId="0" borderId="5" xfId="36" applyFont="1" applyFill="1" applyBorder="1" applyAlignment="1">
      <alignment horizontal="center" vertical="center"/>
    </xf>
    <xf numFmtId="165" fontId="2" fillId="0" borderId="4" xfId="36" applyFont="1" applyFill="1" applyBorder="1" applyAlignment="1">
      <alignment horizontal="center" vertical="center"/>
    </xf>
    <xf numFmtId="0" fontId="7" fillId="0" borderId="0" xfId="49" applyFont="1" applyBorder="1" applyAlignment="1">
      <alignment horizontal="center" vertical="center"/>
    </xf>
    <xf numFmtId="0" fontId="2" fillId="2" borderId="6" xfId="49" applyFont="1" applyFill="1" applyBorder="1" applyAlignment="1">
      <alignment horizontal="right" vertical="center"/>
    </xf>
    <xf numFmtId="0" fontId="2" fillId="2" borderId="7" xfId="49" applyFont="1" applyFill="1" applyBorder="1" applyAlignment="1">
      <alignment horizontal="center" vertical="center"/>
    </xf>
    <xf numFmtId="14" fontId="2" fillId="2" borderId="7" xfId="49" applyNumberFormat="1" applyFont="1" applyFill="1" applyBorder="1" applyAlignment="1">
      <alignment horizontal="center" vertical="center"/>
    </xf>
    <xf numFmtId="0" fontId="2" fillId="2" borderId="7" xfId="49" applyFont="1" applyFill="1" applyBorder="1" applyAlignment="1">
      <alignment vertical="center"/>
    </xf>
    <xf numFmtId="0" fontId="2" fillId="2" borderId="8" xfId="49" applyFont="1" applyFill="1" applyBorder="1" applyAlignment="1">
      <alignment vertical="center"/>
    </xf>
    <xf numFmtId="0" fontId="67" fillId="0" borderId="0" xfId="49" applyNumberFormat="1" applyFont="1" applyBorder="1" applyAlignment="1">
      <alignment horizontal="center" vertical="center"/>
    </xf>
    <xf numFmtId="0" fontId="2" fillId="0" borderId="0" xfId="49" applyFont="1" applyBorder="1" applyAlignment="1">
      <alignment horizontal="center" vertical="center"/>
    </xf>
    <xf numFmtId="14" fontId="7" fillId="0" borderId="0" xfId="49" applyNumberFormat="1" applyFont="1" applyBorder="1" applyAlignment="1">
      <alignment horizontal="center" vertical="center"/>
    </xf>
    <xf numFmtId="171" fontId="7" fillId="0" borderId="5" xfId="49" applyNumberFormat="1" applyFont="1" applyBorder="1" applyAlignment="1">
      <alignment horizontal="center" vertical="center"/>
    </xf>
    <xf numFmtId="0" fontId="2" fillId="0" borderId="5" xfId="49" applyFont="1" applyBorder="1" applyAlignment="1">
      <alignment vertical="center"/>
    </xf>
    <xf numFmtId="171" fontId="7" fillId="0" borderId="4" xfId="49" applyNumberFormat="1" applyFont="1" applyBorder="1" applyAlignment="1">
      <alignment horizontal="center" vertical="center"/>
    </xf>
    <xf numFmtId="14" fontId="2" fillId="0" borderId="0" xfId="49" applyNumberFormat="1" applyFont="1" applyFill="1" applyBorder="1" applyAlignment="1">
      <alignment horizontal="center" vertical="center"/>
    </xf>
    <xf numFmtId="164" fontId="2" fillId="0" borderId="0" xfId="49" applyNumberFormat="1" applyFont="1" applyBorder="1" applyAlignment="1">
      <alignment horizontal="right" vertical="center"/>
    </xf>
    <xf numFmtId="0" fontId="2" fillId="0" borderId="0" xfId="49" applyFont="1" applyFill="1" applyBorder="1" applyAlignment="1">
      <alignment vertical="center"/>
    </xf>
    <xf numFmtId="0" fontId="9" fillId="0" borderId="4" xfId="49" applyFont="1" applyFill="1" applyBorder="1" applyAlignment="1">
      <alignment vertical="center"/>
    </xf>
    <xf numFmtId="0" fontId="7" fillId="0" borderId="0" xfId="49" applyFont="1" applyBorder="1" applyAlignment="1">
      <alignment horizontal="right" vertical="center" wrapText="1"/>
    </xf>
    <xf numFmtId="0" fontId="7" fillId="0" borderId="0" xfId="49" applyFont="1" applyFill="1" applyBorder="1" applyAlignment="1">
      <alignment horizontal="right" vertical="center" wrapText="1"/>
    </xf>
    <xf numFmtId="0" fontId="7" fillId="0" borderId="0" xfId="49" applyFont="1" applyFill="1" applyBorder="1" applyAlignment="1">
      <alignment horizontal="right" vertical="center"/>
    </xf>
    <xf numFmtId="164" fontId="7" fillId="0" borderId="0" xfId="33" applyFont="1" applyFill="1" applyBorder="1" applyAlignment="1">
      <alignment horizontal="right" vertical="center"/>
    </xf>
    <xf numFmtId="0" fontId="7" fillId="0" borderId="5" xfId="49" applyFont="1" applyFill="1" applyBorder="1" applyAlignment="1">
      <alignment horizontal="right" vertical="center" wrapText="1"/>
    </xf>
    <xf numFmtId="0" fontId="7" fillId="0" borderId="4" xfId="49" applyFont="1" applyFill="1" applyBorder="1" applyAlignment="1">
      <alignment horizontal="right" vertical="center" wrapText="1"/>
    </xf>
    <xf numFmtId="10" fontId="2" fillId="0" borderId="0" xfId="44" applyNumberFormat="1" applyFont="1" applyFill="1" applyBorder="1" applyAlignment="1">
      <alignment horizontal="right" vertical="center"/>
    </xf>
    <xf numFmtId="164" fontId="2" fillId="0" borderId="0" xfId="33" applyFont="1" applyFill="1" applyBorder="1" applyAlignment="1">
      <alignment horizontal="right" vertical="center"/>
    </xf>
    <xf numFmtId="0" fontId="2" fillId="0" borderId="5" xfId="49" applyFont="1" applyFill="1" applyBorder="1" applyAlignment="1">
      <alignment horizontal="right" vertical="center"/>
    </xf>
    <xf numFmtId="0" fontId="2" fillId="0" borderId="4" xfId="49" quotePrefix="1" applyFont="1" applyBorder="1" applyAlignment="1">
      <alignment vertical="center"/>
    </xf>
    <xf numFmtId="164" fontId="2" fillId="0" borderId="0" xfId="33" applyFont="1" applyBorder="1" applyAlignment="1">
      <alignment horizontal="right" vertical="center"/>
    </xf>
    <xf numFmtId="10" fontId="7" fillId="0" borderId="0" xfId="49" applyNumberFormat="1" applyFont="1" applyFill="1" applyBorder="1" applyAlignment="1">
      <alignment horizontal="center" vertical="center"/>
    </xf>
    <xf numFmtId="10" fontId="7" fillId="0" borderId="4" xfId="49" applyNumberFormat="1" applyFont="1" applyFill="1" applyBorder="1" applyAlignment="1">
      <alignment horizontal="right" vertical="center"/>
    </xf>
    <xf numFmtId="10" fontId="2" fillId="0" borderId="4" xfId="49" quotePrefix="1" applyNumberFormat="1" applyFont="1" applyFill="1" applyBorder="1" applyAlignment="1">
      <alignment horizontal="right" vertical="center"/>
    </xf>
    <xf numFmtId="0" fontId="2" fillId="0" borderId="0" xfId="49" applyFont="1" applyFill="1" applyBorder="1" applyAlignment="1">
      <alignment horizontal="center" vertical="center"/>
    </xf>
    <xf numFmtId="10" fontId="2" fillId="0" borderId="0" xfId="44" applyNumberFormat="1" applyFont="1" applyBorder="1" applyAlignment="1">
      <alignment horizontal="center" vertical="center"/>
    </xf>
    <xf numFmtId="184" fontId="7" fillId="0" borderId="5" xfId="49" applyNumberFormat="1" applyFont="1" applyBorder="1" applyAlignment="1">
      <alignment horizontal="center" vertical="center"/>
    </xf>
    <xf numFmtId="10" fontId="7" fillId="0" borderId="5" xfId="49" applyNumberFormat="1" applyFont="1" applyFill="1" applyBorder="1" applyAlignment="1">
      <alignment horizontal="right" vertical="center"/>
    </xf>
    <xf numFmtId="10" fontId="7" fillId="0" borderId="0" xfId="49" applyNumberFormat="1" applyFont="1" applyFill="1" applyBorder="1" applyAlignment="1">
      <alignment horizontal="right" vertical="center"/>
    </xf>
    <xf numFmtId="10" fontId="2" fillId="0" borderId="0" xfId="49" quotePrefix="1" applyNumberFormat="1" applyFont="1" applyFill="1" applyBorder="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Font="1" applyBorder="1" applyAlignment="1">
      <alignment horizontal="center" vertical="center"/>
    </xf>
    <xf numFmtId="0" fontId="2" fillId="0" borderId="5" xfId="49" applyFont="1" applyBorder="1" applyAlignment="1">
      <alignment horizontal="center" vertical="center"/>
    </xf>
    <xf numFmtId="0" fontId="2" fillId="0" borderId="6" xfId="49" applyFont="1" applyBorder="1" applyAlignment="1">
      <alignment vertical="center"/>
    </xf>
    <xf numFmtId="0" fontId="2" fillId="0" borderId="7" xfId="49" applyFont="1" applyBorder="1" applyAlignment="1">
      <alignment vertical="center"/>
    </xf>
    <xf numFmtId="0" fontId="2" fillId="0" borderId="8" xfId="49"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4" fontId="2" fillId="0" borderId="0" xfId="0" applyNumberFormat="1" applyFont="1" applyFill="1" applyBorder="1" applyAlignment="1">
      <alignment horizontal="center" vertical="center"/>
    </xf>
    <xf numFmtId="170" fontId="2" fillId="0" borderId="0" xfId="17"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Border="1" applyAlignment="1">
      <alignment horizontal="left" vertical="center" wrapText="1"/>
    </xf>
    <xf numFmtId="0" fontId="61" fillId="2" borderId="0" xfId="18" applyFont="1" applyFill="1" applyBorder="1" applyAlignment="1">
      <alignment horizontal="right" vertical="center" wrapText="1"/>
    </xf>
    <xf numFmtId="0" fontId="6" fillId="0" borderId="9" xfId="16"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1" fillId="0" borderId="0" xfId="20" applyFont="1" applyFill="1" applyBorder="1" applyAlignment="1">
      <alignment horizontal="right" vertical="center" wrapText="1"/>
    </xf>
    <xf numFmtId="164" fontId="2" fillId="0" borderId="0" xfId="0" applyNumberFormat="1" applyFont="1" applyFill="1" applyAlignment="1">
      <alignment vertical="center"/>
    </xf>
    <xf numFmtId="175" fontId="2" fillId="0" borderId="0" xfId="0" applyNumberFormat="1" applyFont="1" applyFill="1" applyBorder="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7"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0" fontId="61" fillId="2" borderId="31" xfId="22" applyFont="1" applyFill="1" applyBorder="1" applyAlignment="1">
      <alignment vertical="center" wrapText="1"/>
    </xf>
    <xf numFmtId="0" fontId="61" fillId="0" borderId="0" xfId="22" applyFont="1" applyFill="1" applyBorder="1" applyAlignment="1">
      <alignment vertical="center" wrapText="1"/>
    </xf>
    <xf numFmtId="1" fontId="6" fillId="0" borderId="9" xfId="12" applyNumberFormat="1" applyFont="1" applyFill="1" applyBorder="1" applyAlignment="1">
      <alignment horizontal="center"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1" fontId="6" fillId="0" borderId="0" xfId="12" applyNumberFormat="1" applyFont="1" applyFill="1" applyBorder="1" applyAlignment="1">
      <alignment horizontal="center" vertical="center" wrapText="1"/>
    </xf>
    <xf numFmtId="4"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46" fontId="6" fillId="0" borderId="0" xfId="13" quotePrefix="1"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0" fontId="6" fillId="0" borderId="0" xfId="13" applyFont="1" applyFill="1" applyBorder="1" applyAlignment="1">
      <alignment horizontal="center" vertical="center" wrapText="1"/>
    </xf>
    <xf numFmtId="20" fontId="6" fillId="0" borderId="0" xfId="13" applyNumberFormat="1" applyFont="1" applyFill="1" applyBorder="1" applyAlignment="1">
      <alignment horizontal="center" vertical="center" wrapText="1"/>
    </xf>
    <xf numFmtId="14" fontId="6" fillId="0" borderId="0" xfId="13" applyNumberFormat="1" applyFont="1" applyFill="1" applyBorder="1" applyAlignment="1">
      <alignment horizontal="center" vertical="center" wrapText="1"/>
    </xf>
    <xf numFmtId="46" fontId="6" fillId="0" borderId="0" xfId="13"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3" applyNumberFormat="1" applyFont="1" applyFill="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7" applyNumberFormat="1" applyFont="1" applyBorder="1" applyAlignment="1">
      <alignment horizontal="right" vertical="center"/>
    </xf>
    <xf numFmtId="10" fontId="23" fillId="0" borderId="0" xfId="13"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8" fillId="0" borderId="0" xfId="0" applyFont="1" applyFill="1" applyBorder="1" applyAlignment="1">
      <alignment horizontal="left" vertical="center"/>
    </xf>
    <xf numFmtId="0" fontId="6" fillId="0" borderId="9" xfId="16" applyFont="1" applyFill="1" applyBorder="1" applyAlignment="1">
      <alignment horizontal="center" vertical="center" wrapText="1"/>
    </xf>
    <xf numFmtId="4" fontId="6" fillId="0" borderId="10" xfId="16" applyNumberFormat="1" applyFont="1" applyFill="1" applyBorder="1" applyAlignment="1">
      <alignment horizontal="right" vertical="center" wrapText="1"/>
    </xf>
    <xf numFmtId="10" fontId="6" fillId="0" borderId="10" xfId="16" applyNumberFormat="1" applyFont="1" applyFill="1" applyBorder="1" applyAlignment="1">
      <alignment horizontal="right" vertical="center" wrapText="1"/>
    </xf>
    <xf numFmtId="3" fontId="6" fillId="0" borderId="10" xfId="16" applyNumberFormat="1" applyFont="1" applyFill="1" applyBorder="1" applyAlignment="1">
      <alignment horizontal="right" vertical="center" wrapText="1"/>
    </xf>
    <xf numFmtId="10" fontId="6" fillId="0" borderId="11" xfId="16" applyNumberFormat="1" applyFont="1" applyFill="1" applyBorder="1" applyAlignment="1">
      <alignment horizontal="right" vertical="center" wrapText="1"/>
    </xf>
    <xf numFmtId="0" fontId="6" fillId="0" borderId="0" xfId="16" applyFont="1" applyFill="1" applyBorder="1" applyAlignment="1">
      <alignment horizontal="left" vertical="center" wrapText="1"/>
    </xf>
    <xf numFmtId="4" fontId="6" fillId="0" borderId="0" xfId="16" applyNumberFormat="1" applyFont="1" applyFill="1" applyBorder="1" applyAlignment="1">
      <alignment horizontal="right" vertical="center" wrapText="1"/>
    </xf>
    <xf numFmtId="10" fontId="6" fillId="0" borderId="0" xfId="16" applyNumberFormat="1" applyFont="1" applyFill="1" applyBorder="1" applyAlignment="1">
      <alignment horizontal="right" vertical="center" wrapText="1"/>
    </xf>
    <xf numFmtId="3" fontId="6" fillId="0" borderId="0" xfId="16" applyNumberFormat="1" applyFont="1" applyFill="1" applyBorder="1" applyAlignment="1">
      <alignment horizontal="right" vertical="center" wrapText="1"/>
    </xf>
    <xf numFmtId="0" fontId="6" fillId="0" borderId="0" xfId="19" applyFont="1" applyFill="1" applyBorder="1" applyAlignment="1">
      <alignment horizontal="center" vertical="center" wrapText="1"/>
    </xf>
    <xf numFmtId="20" fontId="6" fillId="0" borderId="9" xfId="16"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20" fontId="6" fillId="0" borderId="0" xfId="16" applyNumberFormat="1" applyFont="1" applyFill="1" applyBorder="1" applyAlignment="1">
      <alignment horizontal="left" vertical="center" wrapText="1"/>
    </xf>
    <xf numFmtId="3" fontId="7" fillId="0" borderId="24" xfId="0" applyNumberFormat="1" applyFont="1" applyBorder="1" applyAlignment="1">
      <alignment horizontal="right" vertical="center" wrapText="1"/>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0" fontId="6" fillId="0" borderId="0" xfId="15"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5"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6" applyNumberFormat="1" applyFont="1" applyFill="1" applyBorder="1" applyAlignment="1">
      <alignment horizontal="center" vertical="center" wrapText="1"/>
    </xf>
    <xf numFmtId="0" fontId="6" fillId="0" borderId="9" xfId="11" applyFont="1" applyFill="1" applyBorder="1" applyAlignment="1">
      <alignment vertical="center" wrapText="1"/>
    </xf>
    <xf numFmtId="4" fontId="6" fillId="0" borderId="10" xfId="11" applyNumberFormat="1" applyFont="1" applyFill="1" applyBorder="1" applyAlignment="1">
      <alignment horizontal="right" vertical="center" wrapText="1"/>
    </xf>
    <xf numFmtId="10" fontId="6" fillId="0" borderId="10" xfId="11" applyNumberFormat="1" applyFont="1" applyFill="1" applyBorder="1" applyAlignment="1">
      <alignment horizontal="right" vertical="center" wrapText="1"/>
    </xf>
    <xf numFmtId="3" fontId="6" fillId="0" borderId="10" xfId="11" applyNumberFormat="1" applyFont="1" applyFill="1" applyBorder="1" applyAlignment="1">
      <alignment horizontal="right" vertical="center" wrapText="1"/>
    </xf>
    <xf numFmtId="10" fontId="6" fillId="0" borderId="11" xfId="11" applyNumberFormat="1" applyFont="1" applyFill="1" applyBorder="1" applyAlignment="1">
      <alignment horizontal="right" vertical="center" wrapText="1"/>
    </xf>
    <xf numFmtId="0" fontId="6" fillId="0" borderId="0" xfId="11" applyFont="1" applyFill="1" applyBorder="1" applyAlignment="1">
      <alignment vertical="center" wrapText="1"/>
    </xf>
    <xf numFmtId="4" fontId="6" fillId="0" borderId="0" xfId="11" applyNumberFormat="1" applyFont="1" applyFill="1" applyBorder="1" applyAlignment="1">
      <alignment horizontal="right" vertical="center" wrapText="1"/>
    </xf>
    <xf numFmtId="10" fontId="6" fillId="0" borderId="0" xfId="11" applyNumberFormat="1" applyFont="1" applyFill="1" applyBorder="1" applyAlignment="1">
      <alignment horizontal="right" vertical="center" wrapText="1"/>
    </xf>
    <xf numFmtId="3" fontId="6" fillId="0" borderId="0" xfId="11" applyNumberFormat="1" applyFont="1" applyFill="1" applyBorder="1" applyAlignment="1">
      <alignment horizontal="right" vertical="center" wrapText="1"/>
    </xf>
    <xf numFmtId="0" fontId="6" fillId="0" borderId="15" xfId="11" applyFont="1" applyFill="1" applyBorder="1" applyAlignment="1">
      <alignment vertical="center" wrapText="1"/>
    </xf>
    <xf numFmtId="4" fontId="6" fillId="0" borderId="16" xfId="11" applyNumberFormat="1" applyFont="1" applyFill="1" applyBorder="1" applyAlignment="1">
      <alignment horizontal="right" vertical="center" wrapText="1"/>
    </xf>
    <xf numFmtId="3" fontId="6" fillId="0" borderId="16" xfId="11" applyNumberFormat="1" applyFont="1" applyFill="1" applyBorder="1" applyAlignment="1">
      <alignment horizontal="right" vertical="center" wrapText="1"/>
    </xf>
    <xf numFmtId="10" fontId="6" fillId="0" borderId="13" xfId="11" applyNumberFormat="1" applyFont="1" applyFill="1" applyBorder="1" applyAlignment="1">
      <alignment horizontal="right" vertical="center" wrapText="1"/>
    </xf>
    <xf numFmtId="0" fontId="23" fillId="0" borderId="23" xfId="0"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7"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9" xfId="11" applyFont="1" applyFill="1" applyBorder="1" applyAlignment="1">
      <alignment vertical="center" wrapText="1"/>
    </xf>
    <xf numFmtId="10" fontId="6" fillId="0" borderId="16" xfId="11" applyNumberFormat="1" applyFont="1" applyFill="1" applyBorder="1" applyAlignment="1">
      <alignment horizontal="right" vertical="center" wrapText="1"/>
    </xf>
    <xf numFmtId="10" fontId="6" fillId="0" borderId="17" xfId="11"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7"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4" fontId="6" fillId="0" borderId="10" xfId="6" applyNumberFormat="1" applyFont="1" applyFill="1" applyBorder="1" applyAlignment="1">
      <alignment horizontal="righ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8" applyNumberFormat="1" applyFont="1" applyFill="1" applyBorder="1" applyAlignment="1">
      <alignment horizontal="right" vertical="center" wrapText="1"/>
    </xf>
    <xf numFmtId="10" fontId="6" fillId="0" borderId="0" xfId="19"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10" fontId="2" fillId="0" borderId="11" xfId="0" applyNumberFormat="1" applyFont="1" applyBorder="1" applyAlignment="1">
      <alignment vertical="center"/>
    </xf>
    <xf numFmtId="0" fontId="63" fillId="2" borderId="21" xfId="18" applyFont="1" applyFill="1" applyBorder="1" applyAlignment="1">
      <alignment horizontal="right" vertical="center" wrapText="1"/>
    </xf>
    <xf numFmtId="0" fontId="61" fillId="0" borderId="0" xfId="18"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Font="1" applyFill="1" applyBorder="1" applyAlignment="1">
      <alignment horizontal="right" vertical="center" wrapText="1"/>
    </xf>
    <xf numFmtId="168" fontId="6" fillId="0" borderId="12" xfId="17"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10" fontId="23" fillId="0" borderId="24"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6" fillId="0" borderId="0" xfId="23" applyFont="1" applyFill="1" applyAlignment="1">
      <alignment horizontal="left" vertical="center"/>
    </xf>
    <xf numFmtId="0" fontId="2" fillId="0" borderId="0" xfId="23" applyFont="1" applyFill="1" applyAlignment="1">
      <alignment horizontal="center" vertical="center"/>
    </xf>
    <xf numFmtId="0" fontId="2" fillId="0" borderId="0" xfId="23" applyFont="1" applyFill="1" applyAlignment="1">
      <alignment horizontal="left" vertical="center"/>
    </xf>
    <xf numFmtId="165" fontId="2" fillId="2" borderId="0" xfId="23" applyNumberFormat="1" applyFont="1" applyFill="1" applyBorder="1" applyAlignment="1">
      <alignment horizontal="center" vertical="center"/>
    </xf>
    <xf numFmtId="0" fontId="2" fillId="0" borderId="0" xfId="23" applyNumberFormat="1" applyFont="1" applyAlignment="1">
      <alignment vertical="center"/>
    </xf>
    <xf numFmtId="0" fontId="2" fillId="2" borderId="6" xfId="23" applyFont="1" applyFill="1" applyBorder="1" applyAlignment="1">
      <alignment horizontal="right" vertical="center"/>
    </xf>
    <xf numFmtId="0" fontId="2" fillId="2" borderId="7" xfId="23" applyFont="1" applyFill="1" applyBorder="1" applyAlignment="1">
      <alignment horizontal="center" vertical="center"/>
    </xf>
    <xf numFmtId="14" fontId="7" fillId="0" borderId="0" xfId="23" applyNumberFormat="1" applyFont="1" applyFill="1" applyBorder="1" applyAlignment="1">
      <alignment horizontal="center" vertical="center"/>
    </xf>
    <xf numFmtId="171" fontId="7" fillId="0" borderId="0" xfId="23" applyNumberFormat="1" applyFont="1" applyFill="1" applyBorder="1" applyAlignment="1">
      <alignment horizontal="center" vertical="center"/>
    </xf>
    <xf numFmtId="166" fontId="2" fillId="0" borderId="0" xfId="23" applyNumberFormat="1" applyFont="1" applyFill="1" applyBorder="1" applyAlignment="1">
      <alignment vertical="center"/>
    </xf>
    <xf numFmtId="0" fontId="2" fillId="0" borderId="0" xfId="23" applyFont="1" applyFill="1" applyBorder="1" applyAlignment="1">
      <alignment horizontal="right" vertical="center"/>
    </xf>
    <xf numFmtId="0" fontId="9" fillId="0" borderId="0" xfId="23" applyFont="1" applyFill="1" applyBorder="1" applyAlignment="1">
      <alignment horizontal="right" vertical="center"/>
    </xf>
    <xf numFmtId="0" fontId="70" fillId="0" borderId="0" xfId="23" applyFont="1" applyFill="1" applyAlignment="1">
      <alignment horizontal="left" vertical="center"/>
    </xf>
    <xf numFmtId="0" fontId="7" fillId="0" borderId="1" xfId="23" applyFont="1" applyFill="1" applyBorder="1" applyAlignment="1">
      <alignment vertical="center"/>
    </xf>
    <xf numFmtId="0" fontId="11" fillId="0" borderId="2" xfId="23" applyFont="1" applyFill="1" applyBorder="1" applyAlignment="1">
      <alignment horizontal="right" vertical="center"/>
    </xf>
    <xf numFmtId="0" fontId="11" fillId="0" borderId="3" xfId="23" applyFont="1" applyFill="1" applyBorder="1" applyAlignment="1">
      <alignment horizontal="right" vertical="center"/>
    </xf>
    <xf numFmtId="0" fontId="11" fillId="0" borderId="0" xfId="23" applyFont="1" applyFill="1" applyBorder="1" applyAlignment="1">
      <alignment horizontal="right" vertical="center"/>
    </xf>
    <xf numFmtId="174" fontId="2" fillId="0" borderId="0" xfId="23" applyNumberFormat="1" applyFont="1" applyFill="1" applyBorder="1" applyAlignment="1">
      <alignment horizontal="center" vertical="center"/>
    </xf>
    <xf numFmtId="0" fontId="3" fillId="0" borderId="5" xfId="23" applyFont="1" applyFill="1" applyBorder="1" applyAlignment="1">
      <alignment horizontal="right" vertical="center"/>
    </xf>
    <xf numFmtId="0" fontId="11" fillId="0" borderId="0" xfId="23" applyFont="1" applyFill="1" applyBorder="1" applyAlignment="1">
      <alignment horizontal="center" vertical="center"/>
    </xf>
    <xf numFmtId="10" fontId="2" fillId="0" borderId="0" xfId="23" applyNumberFormat="1" applyFont="1" applyFill="1" applyBorder="1" applyAlignment="1">
      <alignment horizontal="center" vertical="center"/>
    </xf>
    <xf numFmtId="167" fontId="2" fillId="0" borderId="0" xfId="23" applyNumberFormat="1" applyFont="1" applyFill="1" applyBorder="1" applyAlignment="1">
      <alignment vertical="center"/>
    </xf>
    <xf numFmtId="167" fontId="2" fillId="0" borderId="5" xfId="23" applyNumberFormat="1" applyFont="1" applyFill="1" applyBorder="1" applyAlignment="1">
      <alignment vertical="center"/>
    </xf>
    <xf numFmtId="0" fontId="71" fillId="0" borderId="0" xfId="23" applyFont="1" applyFill="1" applyAlignment="1">
      <alignment horizontal="left" vertical="center"/>
    </xf>
    <xf numFmtId="0" fontId="72" fillId="0" borderId="0" xfId="23" applyFont="1" applyFill="1" applyBorder="1" applyAlignment="1">
      <alignment horizontal="right" vertical="center"/>
    </xf>
    <xf numFmtId="186" fontId="2" fillId="0" borderId="0" xfId="119" applyNumberFormat="1" applyFont="1" applyFill="1" applyBorder="1" applyAlignment="1">
      <alignment horizontal="center" vertical="center"/>
    </xf>
    <xf numFmtId="166" fontId="2" fillId="0" borderId="0" xfId="23" applyNumberFormat="1" applyFont="1" applyFill="1" applyBorder="1" applyAlignment="1">
      <alignment horizontal="center" vertical="center"/>
    </xf>
    <xf numFmtId="178" fontId="2" fillId="0" borderId="0" xfId="23" applyNumberFormat="1" applyFont="1" applyFill="1" applyBorder="1" applyAlignment="1">
      <alignment vertical="center"/>
    </xf>
    <xf numFmtId="178" fontId="2" fillId="0" borderId="5" xfId="23" applyNumberFormat="1" applyFont="1" applyFill="1" applyBorder="1" applyAlignment="1">
      <alignment vertical="center"/>
    </xf>
    <xf numFmtId="166" fontId="2" fillId="0" borderId="5" xfId="23" applyNumberFormat="1" applyFont="1" applyFill="1" applyBorder="1" applyAlignment="1">
      <alignment vertical="center"/>
    </xf>
    <xf numFmtId="166" fontId="2" fillId="0" borderId="0" xfId="23" applyNumberFormat="1" applyFont="1" applyFill="1" applyAlignment="1">
      <alignment horizontal="center" vertical="center"/>
    </xf>
    <xf numFmtId="3" fontId="2" fillId="0" borderId="7" xfId="23" applyNumberFormat="1" applyFont="1" applyFill="1" applyBorder="1" applyAlignment="1">
      <alignment vertical="center"/>
    </xf>
    <xf numFmtId="3" fontId="2" fillId="0" borderId="0" xfId="23"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3" fontId="2" fillId="0" borderId="8" xfId="23" applyNumberFormat="1" applyFont="1" applyFill="1" applyBorder="1" applyAlignment="1">
      <alignment vertical="center"/>
    </xf>
    <xf numFmtId="3" fontId="2" fillId="0" borderId="2" xfId="23" applyNumberFormat="1" applyFont="1" applyFill="1" applyBorder="1" applyAlignment="1">
      <alignment vertical="center"/>
    </xf>
    <xf numFmtId="3" fontId="2" fillId="0" borderId="3" xfId="23" applyNumberFormat="1" applyFont="1" applyFill="1" applyBorder="1" applyAlignment="1">
      <alignment vertical="center"/>
    </xf>
    <xf numFmtId="0" fontId="7" fillId="0" borderId="4" xfId="23" applyFont="1" applyFill="1" applyBorder="1" applyAlignment="1">
      <alignment vertical="center"/>
    </xf>
    <xf numFmtId="184" fontId="2" fillId="0" borderId="0" xfId="23" applyNumberFormat="1" applyFont="1" applyFill="1" applyBorder="1" applyAlignment="1">
      <alignment vertical="center"/>
    </xf>
    <xf numFmtId="167" fontId="2" fillId="0" borderId="0" xfId="17"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7" xfId="23" applyNumberFormat="1" applyFont="1" applyFill="1" applyBorder="1" applyAlignment="1">
      <alignment vertical="center"/>
    </xf>
    <xf numFmtId="2" fontId="2" fillId="0" borderId="8" xfId="23" applyNumberFormat="1" applyFont="1" applyFill="1" applyBorder="1" applyAlignment="1">
      <alignment vertical="center"/>
    </xf>
    <xf numFmtId="173" fontId="2" fillId="0" borderId="2" xfId="23" applyNumberFormat="1" applyFont="1" applyFill="1" applyBorder="1" applyAlignment="1">
      <alignment vertical="center"/>
    </xf>
    <xf numFmtId="167" fontId="2" fillId="0" borderId="2" xfId="23" applyNumberFormat="1" applyFont="1" applyFill="1" applyBorder="1" applyAlignment="1">
      <alignment horizontal="center" vertical="center"/>
    </xf>
    <xf numFmtId="169" fontId="2" fillId="0" borderId="3" xfId="23" applyNumberFormat="1" applyFont="1" applyFill="1" applyBorder="1" applyAlignment="1">
      <alignment vertical="center"/>
    </xf>
    <xf numFmtId="1" fontId="2" fillId="0" borderId="0" xfId="23" applyNumberFormat="1" applyFont="1" applyFill="1" applyBorder="1" applyAlignment="1">
      <alignment vertical="center"/>
    </xf>
    <xf numFmtId="169" fontId="2" fillId="0" borderId="5" xfId="23" applyNumberFormat="1" applyFont="1" applyFill="1" applyBorder="1" applyAlignment="1">
      <alignment vertical="center"/>
    </xf>
    <xf numFmtId="169" fontId="2" fillId="0" borderId="0" xfId="23" applyNumberFormat="1" applyFont="1" applyFill="1" applyBorder="1" applyAlignment="1">
      <alignment horizontal="right" vertical="center"/>
    </xf>
    <xf numFmtId="169" fontId="2" fillId="0" borderId="0" xfId="23" applyNumberFormat="1" applyFont="1" applyFill="1" applyBorder="1" applyAlignment="1">
      <alignment vertical="center"/>
    </xf>
    <xf numFmtId="10" fontId="2" fillId="0" borderId="0" xfId="23" applyNumberFormat="1" applyFont="1" applyFill="1" applyBorder="1" applyAlignment="1">
      <alignment vertical="center"/>
    </xf>
    <xf numFmtId="184" fontId="7" fillId="0" borderId="0" xfId="23" applyNumberFormat="1" applyFont="1" applyFill="1" applyBorder="1" applyAlignment="1">
      <alignment vertical="center"/>
    </xf>
    <xf numFmtId="166" fontId="7" fillId="0" borderId="5" xfId="23" applyNumberFormat="1" applyFont="1" applyFill="1" applyBorder="1" applyAlignment="1">
      <alignment vertical="center"/>
    </xf>
    <xf numFmtId="166" fontId="7" fillId="0" borderId="0" xfId="23" applyNumberFormat="1" applyFont="1" applyFill="1" applyBorder="1" applyAlignment="1">
      <alignment vertical="center"/>
    </xf>
    <xf numFmtId="184" fontId="7" fillId="0" borderId="7" xfId="23" applyNumberFormat="1" applyFont="1" applyFill="1" applyBorder="1" applyAlignment="1">
      <alignment vertical="center"/>
    </xf>
    <xf numFmtId="184" fontId="2" fillId="0" borderId="7" xfId="23" applyNumberFormat="1" applyFont="1" applyFill="1" applyBorder="1" applyAlignment="1">
      <alignment vertical="center"/>
    </xf>
    <xf numFmtId="166" fontId="2" fillId="0" borderId="8" xfId="23" applyNumberFormat="1" applyFont="1" applyFill="1" applyBorder="1" applyAlignment="1">
      <alignment vertical="center"/>
    </xf>
    <xf numFmtId="166" fontId="7" fillId="0" borderId="2" xfId="23" applyNumberFormat="1" applyFont="1" applyFill="1" applyBorder="1" applyAlignment="1">
      <alignment vertical="center"/>
    </xf>
    <xf numFmtId="167" fontId="2" fillId="0" borderId="2" xfId="23" applyNumberFormat="1" applyFont="1" applyFill="1" applyBorder="1" applyAlignment="1">
      <alignment vertical="center"/>
    </xf>
    <xf numFmtId="10" fontId="2" fillId="0" borderId="2" xfId="23" applyNumberFormat="1" applyFont="1" applyFill="1" applyBorder="1" applyAlignment="1">
      <alignment vertical="center"/>
    </xf>
    <xf numFmtId="10" fontId="2" fillId="0" borderId="3" xfId="23" applyNumberFormat="1" applyFont="1" applyFill="1" applyBorder="1" applyAlignment="1">
      <alignment vertical="center"/>
    </xf>
    <xf numFmtId="167" fontId="2" fillId="0" borderId="7" xfId="23" applyNumberFormat="1" applyFont="1" applyFill="1" applyBorder="1" applyAlignment="1">
      <alignment vertical="center"/>
    </xf>
    <xf numFmtId="10" fontId="2" fillId="0" borderId="7" xfId="23" applyNumberFormat="1" applyFont="1" applyFill="1" applyBorder="1" applyAlignment="1">
      <alignment vertical="center"/>
    </xf>
    <xf numFmtId="10" fontId="2" fillId="0" borderId="8" xfId="23" applyNumberFormat="1" applyFont="1" applyFill="1" applyBorder="1" applyAlignment="1">
      <alignment vertical="center"/>
    </xf>
    <xf numFmtId="0" fontId="2" fillId="0" borderId="1" xfId="23" applyFont="1" applyBorder="1" applyAlignment="1">
      <alignment vertical="center"/>
    </xf>
    <xf numFmtId="0" fontId="2" fillId="0" borderId="2" xfId="23" applyFont="1" applyBorder="1" applyAlignment="1">
      <alignment vertical="center"/>
    </xf>
    <xf numFmtId="0" fontId="2" fillId="0" borderId="3" xfId="23" applyFont="1" applyBorder="1" applyAlignment="1">
      <alignment vertical="center"/>
    </xf>
    <xf numFmtId="0" fontId="2" fillId="3" borderId="1" xfId="23" applyFont="1" applyFill="1" applyBorder="1" applyAlignment="1">
      <alignment horizontal="right" vertical="center"/>
    </xf>
    <xf numFmtId="0" fontId="2" fillId="3" borderId="2" xfId="23" applyFont="1" applyFill="1" applyBorder="1" applyAlignment="1">
      <alignment vertical="center"/>
    </xf>
    <xf numFmtId="14" fontId="2" fillId="3" borderId="2" xfId="23" applyNumberFormat="1" applyFont="1" applyFill="1" applyBorder="1" applyAlignment="1">
      <alignment horizontal="center" vertical="center"/>
    </xf>
    <xf numFmtId="0" fontId="2" fillId="3" borderId="3" xfId="23" applyFont="1" applyFill="1" applyBorder="1" applyAlignment="1">
      <alignment vertical="center"/>
    </xf>
    <xf numFmtId="0" fontId="2" fillId="3" borderId="4" xfId="23" applyFont="1" applyFill="1" applyBorder="1" applyAlignment="1">
      <alignment horizontal="right" vertical="center"/>
    </xf>
    <xf numFmtId="0" fontId="2" fillId="3" borderId="0" xfId="23" applyFont="1" applyFill="1" applyBorder="1" applyAlignment="1">
      <alignment vertical="center"/>
    </xf>
    <xf numFmtId="14" fontId="2" fillId="3" borderId="0" xfId="23" applyNumberFormat="1" applyFont="1" applyFill="1" applyBorder="1" applyAlignment="1">
      <alignment horizontal="center" vertical="center"/>
    </xf>
    <xf numFmtId="0" fontId="2" fillId="3" borderId="5" xfId="23" applyFont="1" applyFill="1" applyBorder="1" applyAlignment="1">
      <alignment vertical="center"/>
    </xf>
    <xf numFmtId="0" fontId="73" fillId="0" borderId="0" xfId="23" applyFont="1" applyFill="1" applyBorder="1" applyAlignment="1">
      <alignment horizontal="right" vertical="center"/>
    </xf>
    <xf numFmtId="1" fontId="2" fillId="3" borderId="0" xfId="23" applyNumberFormat="1" applyFont="1" applyFill="1" applyBorder="1" applyAlignment="1">
      <alignment horizontal="center" vertical="center"/>
    </xf>
    <xf numFmtId="0" fontId="2" fillId="3" borderId="0" xfId="23" applyFont="1" applyFill="1" applyBorder="1" applyAlignment="1">
      <alignment horizontal="right" vertical="center"/>
    </xf>
    <xf numFmtId="0" fontId="2" fillId="3" borderId="0" xfId="23" applyFont="1" applyFill="1" applyBorder="1" applyAlignment="1">
      <alignment horizontal="center" vertical="center"/>
    </xf>
    <xf numFmtId="0" fontId="74" fillId="0" borderId="0" xfId="23" quotePrefix="1" applyFont="1" applyFill="1" applyBorder="1" applyAlignment="1">
      <alignment vertical="center"/>
    </xf>
    <xf numFmtId="0" fontId="73" fillId="0" borderId="0" xfId="23" applyFont="1" applyFill="1" applyBorder="1" applyAlignment="1">
      <alignment vertical="center"/>
    </xf>
    <xf numFmtId="165" fontId="2" fillId="3" borderId="0" xfId="23" applyNumberFormat="1" applyFont="1" applyFill="1" applyBorder="1" applyAlignment="1">
      <alignment horizontal="center" vertical="center"/>
    </xf>
    <xf numFmtId="0" fontId="2" fillId="3" borderId="5" xfId="23" applyFont="1" applyFill="1" applyBorder="1" applyAlignment="1">
      <alignment horizontal="center" vertical="center"/>
    </xf>
    <xf numFmtId="0" fontId="2" fillId="3" borderId="6" xfId="23" applyFont="1" applyFill="1" applyBorder="1" applyAlignment="1">
      <alignment horizontal="right" vertical="center"/>
    </xf>
    <xf numFmtId="0" fontId="2" fillId="3" borderId="7" xfId="23" applyFont="1" applyFill="1" applyBorder="1" applyAlignment="1">
      <alignment horizontal="center" vertical="center"/>
    </xf>
    <xf numFmtId="14" fontId="2" fillId="3" borderId="7" xfId="23" applyNumberFormat="1" applyFont="1" applyFill="1" applyBorder="1" applyAlignment="1">
      <alignment horizontal="center" vertical="center"/>
    </xf>
    <xf numFmtId="0" fontId="2" fillId="3" borderId="7" xfId="23" applyFont="1" applyFill="1" applyBorder="1" applyAlignment="1">
      <alignment vertical="center"/>
    </xf>
    <xf numFmtId="0" fontId="2" fillId="3" borderId="8" xfId="23" applyFont="1" applyFill="1" applyBorder="1" applyAlignment="1">
      <alignment vertical="center"/>
    </xf>
    <xf numFmtId="0" fontId="75" fillId="0" borderId="0" xfId="23" applyNumberFormat="1" applyFont="1" applyFill="1" applyBorder="1" applyAlignment="1">
      <alignment horizontal="center" vertical="center"/>
    </xf>
    <xf numFmtId="4" fontId="22" fillId="0" borderId="0" xfId="9" applyNumberFormat="1" applyFont="1" applyFill="1" applyBorder="1" applyAlignment="1">
      <alignment horizontal="right" vertical="center" wrapText="1"/>
    </xf>
    <xf numFmtId="0" fontId="7" fillId="0" borderId="0" xfId="23" applyFont="1" applyFill="1" applyBorder="1" applyAlignment="1">
      <alignment horizontal="left" vertical="center"/>
    </xf>
    <xf numFmtId="1" fontId="76" fillId="0" borderId="0" xfId="20" applyNumberFormat="1" applyFont="1" applyFill="1" applyBorder="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Fill="1" applyBorder="1" applyAlignment="1">
      <alignment vertical="center"/>
    </xf>
    <xf numFmtId="0" fontId="22" fillId="0" borderId="0" xfId="9" applyFont="1" applyFill="1" applyBorder="1" applyAlignment="1">
      <alignment horizontal="center" vertical="center" wrapText="1"/>
    </xf>
    <xf numFmtId="164" fontId="22" fillId="0" borderId="0" xfId="117" applyFont="1" applyFill="1" applyBorder="1" applyAlignment="1">
      <alignment horizontal="right" vertical="center" wrapText="1"/>
    </xf>
    <xf numFmtId="0" fontId="2" fillId="0" borderId="0" xfId="23" quotePrefix="1" applyFont="1" applyFill="1" applyBorder="1" applyAlignment="1">
      <alignment vertical="center"/>
    </xf>
    <xf numFmtId="0" fontId="22" fillId="0" borderId="0" xfId="9" quotePrefix="1" applyFont="1" applyFill="1" applyBorder="1" applyAlignment="1">
      <alignment horizontal="center" vertical="center" wrapText="1"/>
    </xf>
    <xf numFmtId="187" fontId="2" fillId="0" borderId="0" xfId="119" applyNumberFormat="1" applyFont="1" applyFill="1" applyBorder="1" applyAlignment="1">
      <alignment horizontal="center" vertical="center"/>
    </xf>
    <xf numFmtId="10" fontId="47" fillId="0" borderId="0" xfId="9" quotePrefix="1" applyNumberFormat="1" applyFont="1" applyFill="1" applyBorder="1" applyAlignment="1">
      <alignment horizontal="center" vertical="center" wrapText="1"/>
    </xf>
    <xf numFmtId="10" fontId="22" fillId="0" borderId="0" xfId="17"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0" fontId="2" fillId="0" borderId="0" xfId="9" applyFont="1" applyFill="1" applyBorder="1" applyAlignment="1">
      <alignment horizontal="center" vertical="center" wrapText="1"/>
    </xf>
    <xf numFmtId="164" fontId="2" fillId="0" borderId="0" xfId="117" applyFont="1" applyFill="1" applyBorder="1" applyAlignment="1">
      <alignment horizontal="right" vertical="center" wrapText="1"/>
    </xf>
    <xf numFmtId="0" fontId="47" fillId="0" borderId="0" xfId="23" quotePrefix="1" applyFont="1" applyFill="1" applyBorder="1" applyAlignment="1">
      <alignment vertical="center" wrapText="1"/>
    </xf>
    <xf numFmtId="9" fontId="47" fillId="0" borderId="0" xfId="17" applyNumberFormat="1" applyFont="1" applyFill="1" applyBorder="1" applyAlignment="1">
      <alignment horizontal="center" vertical="center"/>
    </xf>
    <xf numFmtId="164"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Fill="1" applyBorder="1" applyAlignment="1">
      <alignment horizontal="right" vertical="center"/>
    </xf>
    <xf numFmtId="176" fontId="7" fillId="0" borderId="0" xfId="23" applyNumberFormat="1" applyFont="1" applyFill="1" applyBorder="1" applyAlignment="1">
      <alignment horizontal="right" vertical="center"/>
    </xf>
    <xf numFmtId="0" fontId="2" fillId="0" borderId="0" xfId="23" quotePrefix="1" applyFont="1" applyFill="1" applyBorder="1" applyAlignment="1">
      <alignment vertical="center" wrapText="1"/>
    </xf>
    <xf numFmtId="164"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Fill="1" applyBorder="1" applyAlignment="1">
      <alignment horizontal="right" vertical="center"/>
    </xf>
    <xf numFmtId="167" fontId="7" fillId="0" borderId="0" xfId="23" applyNumberFormat="1" applyFont="1" applyFill="1" applyBorder="1" applyAlignment="1">
      <alignment horizontal="right" vertical="center"/>
    </xf>
    <xf numFmtId="3" fontId="2" fillId="0" borderId="0" xfId="23" applyNumberFormat="1" applyFont="1" applyBorder="1" applyAlignment="1">
      <alignment horizontal="right" vertical="center"/>
    </xf>
    <xf numFmtId="3" fontId="2" fillId="0" borderId="0" xfId="116" applyNumberFormat="1" applyFont="1" applyBorder="1" applyAlignment="1">
      <alignment horizontal="right" vertical="center"/>
    </xf>
    <xf numFmtId="164" fontId="2" fillId="0" borderId="0" xfId="116" applyFont="1" applyBorder="1" applyAlignment="1">
      <alignment horizontal="right" vertical="center"/>
    </xf>
    <xf numFmtId="0" fontId="8" fillId="0" borderId="0" xfId="23" applyFont="1" applyBorder="1" applyAlignment="1">
      <alignment vertical="center"/>
    </xf>
    <xf numFmtId="0" fontId="22" fillId="0" borderId="7" xfId="9" applyFont="1" applyFill="1" applyBorder="1" applyAlignment="1">
      <alignment horizontal="center" vertical="center" wrapText="1"/>
    </xf>
    <xf numFmtId="4" fontId="22" fillId="0" borderId="7" xfId="9" applyNumberFormat="1" applyFont="1" applyFill="1" applyBorder="1" applyAlignment="1">
      <alignment horizontal="right" vertical="center" wrapText="1"/>
    </xf>
    <xf numFmtId="177" fontId="2" fillId="0" borderId="0" xfId="116" applyNumberFormat="1" applyFont="1" applyBorder="1" applyAlignment="1">
      <alignment horizontal="right" vertical="center"/>
    </xf>
    <xf numFmtId="4" fontId="2" fillId="0" borderId="0" xfId="23" applyNumberFormat="1" applyFont="1" applyBorder="1" applyAlignment="1">
      <alignment vertical="center"/>
    </xf>
    <xf numFmtId="10" fontId="2" fillId="0" borderId="0" xfId="23" applyNumberFormat="1" applyFont="1" applyBorder="1" applyAlignment="1">
      <alignment vertical="center"/>
    </xf>
    <xf numFmtId="165" fontId="2" fillId="2" borderId="0" xfId="115" applyFont="1" applyFill="1" applyBorder="1" applyAlignment="1">
      <alignment horizontal="center" vertical="center"/>
    </xf>
    <xf numFmtId="0" fontId="7" fillId="0" borderId="5" xfId="23" applyFont="1" applyFill="1" applyBorder="1" applyAlignment="1">
      <alignment horizontal="center" vertical="center"/>
    </xf>
    <xf numFmtId="0" fontId="67" fillId="0" borderId="0" xfId="23" applyNumberFormat="1" applyFont="1" applyBorder="1" applyAlignment="1">
      <alignment horizontal="center" vertical="center"/>
    </xf>
    <xf numFmtId="0" fontId="7" fillId="0" borderId="0" xfId="23" applyFont="1" applyBorder="1" applyAlignment="1">
      <alignment horizontal="right" vertical="center"/>
    </xf>
    <xf numFmtId="184" fontId="2" fillId="0" borderId="0" xfId="23" applyNumberFormat="1" applyFont="1" applyBorder="1" applyAlignment="1">
      <alignment horizontal="right" vertical="center"/>
    </xf>
    <xf numFmtId="164" fontId="2" fillId="0" borderId="0" xfId="23" applyNumberFormat="1" applyFont="1" applyBorder="1" applyAlignment="1">
      <alignment horizontal="right" vertical="center"/>
    </xf>
    <xf numFmtId="0" fontId="7" fillId="0" borderId="0" xfId="23" applyFont="1" applyBorder="1" applyAlignment="1">
      <alignment horizontal="right" vertical="center" wrapText="1"/>
    </xf>
    <xf numFmtId="0" fontId="7" fillId="0" borderId="0" xfId="23" applyFont="1" applyFill="1" applyBorder="1" applyAlignment="1">
      <alignment horizontal="right" vertical="center" wrapText="1"/>
    </xf>
    <xf numFmtId="0" fontId="61" fillId="2" borderId="58" xfId="20" applyFont="1" applyFill="1" applyBorder="1" applyAlignment="1">
      <alignment horizontal="center" vertical="center" wrapText="1"/>
    </xf>
    <xf numFmtId="0" fontId="61" fillId="2" borderId="20" xfId="20" applyFont="1" applyFill="1" applyBorder="1" applyAlignment="1">
      <alignment horizontal="center" vertical="center" wrapText="1"/>
    </xf>
    <xf numFmtId="0" fontId="7" fillId="0" borderId="5" xfId="23" applyFont="1" applyFill="1" applyBorder="1" applyAlignment="1">
      <alignment vertical="center"/>
    </xf>
    <xf numFmtId="10" fontId="7" fillId="0" borderId="0" xfId="27" applyNumberFormat="1" applyFont="1" applyFill="1" applyBorder="1" applyAlignment="1">
      <alignment horizontal="right" vertical="center"/>
    </xf>
    <xf numFmtId="184" fontId="2" fillId="0" borderId="0" xfId="17" applyNumberFormat="1" applyFont="1" applyFill="1" applyBorder="1" applyAlignment="1">
      <alignment horizontal="right" vertical="center"/>
    </xf>
    <xf numFmtId="184" fontId="2" fillId="0" borderId="0" xfId="17" applyNumberFormat="1" applyFont="1" applyFill="1" applyBorder="1" applyAlignment="1">
      <alignment vertical="center"/>
    </xf>
    <xf numFmtId="10" fontId="2" fillId="0" borderId="0" xfId="23" quotePrefix="1" applyNumberFormat="1" applyFont="1" applyFill="1" applyBorder="1" applyAlignment="1">
      <alignment horizontal="right" vertical="center"/>
    </xf>
    <xf numFmtId="177"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Font="1" applyFill="1" applyBorder="1" applyAlignment="1">
      <alignment vertical="center"/>
    </xf>
    <xf numFmtId="184" fontId="2" fillId="0" borderId="0" xfId="17" applyNumberFormat="1" applyFont="1" applyBorder="1" applyAlignment="1">
      <alignment vertical="center"/>
    </xf>
    <xf numFmtId="0" fontId="7" fillId="0" borderId="0" xfId="23" applyFont="1" applyBorder="1" applyAlignment="1">
      <alignment vertical="center"/>
    </xf>
    <xf numFmtId="184" fontId="7" fillId="0" borderId="0" xfId="17" applyNumberFormat="1" applyFont="1" applyBorder="1" applyAlignment="1">
      <alignment horizontal="right" vertical="center"/>
    </xf>
    <xf numFmtId="184" fontId="7" fillId="0" borderId="0" xfId="17" applyNumberFormat="1" applyFont="1" applyBorder="1" applyAlignment="1">
      <alignment vertical="center"/>
    </xf>
    <xf numFmtId="184" fontId="7" fillId="0" borderId="0" xfId="17" applyNumberFormat="1" applyFont="1" applyFill="1" applyBorder="1" applyAlignment="1">
      <alignment horizontal="right" vertical="center"/>
    </xf>
    <xf numFmtId="10" fontId="7" fillId="0" borderId="0" xfId="23" applyNumberFormat="1" applyFont="1" applyFill="1" applyBorder="1" applyAlignment="1">
      <alignment vertical="center"/>
    </xf>
    <xf numFmtId="164" fontId="2" fillId="0" borderId="0" xfId="118" applyFont="1" applyFill="1" applyBorder="1" applyAlignment="1">
      <alignment horizontal="right" vertical="center"/>
    </xf>
    <xf numFmtId="164" fontId="2" fillId="0" borderId="0" xfId="118" applyFont="1" applyBorder="1" applyAlignment="1">
      <alignment vertical="center"/>
    </xf>
    <xf numFmtId="0" fontId="8" fillId="0" borderId="4" xfId="23" applyFont="1" applyBorder="1" applyAlignment="1">
      <alignment horizontal="center" vertical="center"/>
    </xf>
    <xf numFmtId="0" fontId="2" fillId="0" borderId="6" xfId="49" applyFont="1" applyFill="1"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Border="1" applyAlignment="1">
      <alignment horizontal="right" vertical="center"/>
    </xf>
    <xf numFmtId="0" fontId="45" fillId="0" borderId="0" xfId="23" applyFont="1" applyBorder="1" applyAlignment="1">
      <alignment vertical="center"/>
    </xf>
    <xf numFmtId="10" fontId="2" fillId="0" borderId="0" xfId="23" applyNumberFormat="1" applyFont="1" applyBorder="1" applyAlignment="1">
      <alignment horizontal="right" vertical="center"/>
    </xf>
    <xf numFmtId="0" fontId="7" fillId="2" borderId="0" xfId="23" applyFont="1" applyFill="1" applyBorder="1" applyAlignment="1">
      <alignment vertical="center"/>
    </xf>
    <xf numFmtId="164" fontId="7" fillId="0" borderId="0" xfId="118" applyFont="1" applyBorder="1" applyAlignment="1">
      <alignment horizontal="right" vertical="center"/>
    </xf>
    <xf numFmtId="164" fontId="2" fillId="0" borderId="0" xfId="118" applyFont="1" applyBorder="1" applyAlignment="1">
      <alignment horizontal="right" vertical="center"/>
    </xf>
    <xf numFmtId="184" fontId="2" fillId="0" borderId="0" xfId="17" applyNumberFormat="1" applyFont="1" applyBorder="1" applyAlignment="1">
      <alignment horizontal="right" vertical="center"/>
    </xf>
    <xf numFmtId="172" fontId="2" fillId="0" borderId="0" xfId="17" applyNumberFormat="1" applyFont="1" applyFill="1" applyBorder="1" applyAlignment="1">
      <alignment vertical="center"/>
    </xf>
    <xf numFmtId="10" fontId="62" fillId="0" borderId="0" xfId="17" applyNumberFormat="1" applyFont="1" applyFill="1" applyBorder="1" applyAlignment="1">
      <alignment vertical="center"/>
    </xf>
    <xf numFmtId="177" fontId="2" fillId="0" borderId="0" xfId="118" applyNumberFormat="1" applyFont="1" applyBorder="1" applyAlignment="1">
      <alignment horizontal="right" vertical="center"/>
    </xf>
    <xf numFmtId="164" fontId="2" fillId="0" borderId="7" xfId="118" applyFont="1" applyBorder="1" applyAlignment="1">
      <alignment horizontal="right" vertical="center"/>
    </xf>
    <xf numFmtId="164" fontId="7" fillId="0" borderId="0" xfId="118" applyFont="1" applyFill="1" applyBorder="1" applyAlignment="1">
      <alignment horizontal="right" vertical="center"/>
    </xf>
    <xf numFmtId="0" fontId="2" fillId="0" borderId="0" xfId="23" quotePrefix="1" applyFont="1" applyBorder="1" applyAlignment="1">
      <alignment vertical="center"/>
    </xf>
    <xf numFmtId="0" fontId="2" fillId="0" borderId="1" xfId="49" applyFont="1" applyFill="1" applyBorder="1" applyAlignment="1">
      <alignment horizontal="center" vertical="center"/>
    </xf>
    <xf numFmtId="10" fontId="2" fillId="0" borderId="5" xfId="17" applyNumberFormat="1" applyFont="1" applyFill="1" applyBorder="1" applyAlignment="1">
      <alignment vertical="center"/>
    </xf>
    <xf numFmtId="184" fontId="7" fillId="0" borderId="0" xfId="0" applyNumberFormat="1" applyFont="1" applyBorder="1" applyAlignment="1">
      <alignment horizontal="right" vertical="center"/>
    </xf>
    <xf numFmtId="184" fontId="2" fillId="0" borderId="0" xfId="0" applyNumberFormat="1" applyFont="1" applyBorder="1" applyAlignment="1">
      <alignment vertical="center"/>
    </xf>
    <xf numFmtId="167" fontId="2" fillId="0" borderId="0" xfId="17" applyNumberFormat="1" applyFont="1" applyBorder="1" applyAlignment="1">
      <alignment horizontal="right" vertical="center"/>
    </xf>
    <xf numFmtId="184" fontId="2" fillId="0" borderId="0" xfId="1" applyNumberFormat="1" applyFont="1" applyBorder="1" applyAlignment="1">
      <alignment horizontal="right" vertical="center"/>
    </xf>
    <xf numFmtId="164" fontId="2" fillId="0" borderId="0" xfId="1" applyFont="1" applyBorder="1" applyAlignment="1">
      <alignment horizontal="center" vertical="center"/>
    </xf>
    <xf numFmtId="0" fontId="77"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5" fillId="0" borderId="0" xfId="0" quotePrefix="1" applyFont="1" applyBorder="1" applyAlignment="1">
      <alignment vertical="center"/>
    </xf>
    <xf numFmtId="0" fontId="71" fillId="0" borderId="0" xfId="0" applyFont="1" applyBorder="1" applyAlignment="1">
      <alignment vertical="center"/>
    </xf>
    <xf numFmtId="0" fontId="7" fillId="0" borderId="0" xfId="0" applyFont="1" applyBorder="1" applyAlignment="1">
      <alignment horizontal="center" vertical="center" wrapText="1"/>
    </xf>
    <xf numFmtId="0" fontId="70" fillId="0" borderId="0" xfId="0" applyFont="1" applyAlignment="1">
      <alignment horizontal="left" vertical="center"/>
    </xf>
    <xf numFmtId="0" fontId="7" fillId="0" borderId="0" xfId="0" applyFont="1" applyBorder="1" applyAlignment="1">
      <alignment horizontal="right" vertical="center" wrapText="1"/>
    </xf>
    <xf numFmtId="184" fontId="7" fillId="0" borderId="0" xfId="0" applyNumberFormat="1" applyFont="1" applyBorder="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1" fontId="78" fillId="2" borderId="0" xfId="0" applyNumberFormat="1" applyFont="1" applyFill="1" applyBorder="1" applyAlignment="1">
      <alignment horizontal="right" vertical="center"/>
    </xf>
    <xf numFmtId="0" fontId="2" fillId="0" borderId="0" xfId="0" applyFont="1" applyAlignment="1">
      <alignment horizontal="right" vertical="center"/>
    </xf>
    <xf numFmtId="3" fontId="7" fillId="0" borderId="0" xfId="0" quotePrefix="1" applyNumberFormat="1" applyFont="1" applyBorder="1" applyAlignment="1">
      <alignment vertical="center"/>
    </xf>
    <xf numFmtId="184" fontId="2" fillId="0" borderId="0" xfId="0" applyNumberFormat="1" applyFont="1" applyAlignment="1">
      <alignment horizontal="right" vertical="center"/>
    </xf>
    <xf numFmtId="3" fontId="2" fillId="0" borderId="0" xfId="0" applyNumberFormat="1" applyFont="1" applyBorder="1" applyAlignment="1">
      <alignment vertical="center"/>
    </xf>
    <xf numFmtId="184" fontId="2" fillId="0" borderId="0" xfId="0"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Border="1" applyAlignment="1">
      <alignment vertical="center"/>
    </xf>
    <xf numFmtId="184" fontId="7" fillId="0" borderId="0" xfId="0" applyNumberFormat="1" applyFont="1" applyAlignment="1">
      <alignment vertical="center"/>
    </xf>
    <xf numFmtId="166" fontId="2" fillId="0" borderId="0" xfId="0"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84" fontId="2" fillId="0" borderId="0" xfId="0" applyNumberFormat="1" applyFont="1" applyAlignment="1">
      <alignment horizontal="center" vertical="center"/>
    </xf>
    <xf numFmtId="166" fontId="22" fillId="0" borderId="0" xfId="9" applyNumberFormat="1" applyFont="1" applyFill="1" applyBorder="1" applyAlignment="1">
      <alignment horizontal="right" vertical="center" wrapText="1"/>
    </xf>
    <xf numFmtId="166" fontId="2" fillId="0" borderId="0" xfId="116" applyNumberFormat="1" applyFont="1" applyBorder="1" applyAlignment="1">
      <alignment horizontal="right" vertical="center"/>
    </xf>
    <xf numFmtId="166" fontId="2" fillId="0" borderId="64" xfId="116" applyNumberFormat="1" applyFont="1" applyFill="1" applyBorder="1" applyAlignment="1">
      <alignment horizontal="right" vertical="center"/>
    </xf>
    <xf numFmtId="166" fontId="22" fillId="0" borderId="0" xfId="117" applyNumberFormat="1" applyFont="1" applyFill="1" applyBorder="1" applyAlignment="1">
      <alignment horizontal="center" vertical="center" wrapText="1"/>
    </xf>
    <xf numFmtId="0" fontId="2" fillId="0" borderId="18" xfId="0" applyFont="1" applyFill="1" applyBorder="1" applyAlignment="1">
      <alignment horizontal="center" vertical="center"/>
    </xf>
    <xf numFmtId="165" fontId="6" fillId="0" borderId="35" xfId="3" applyFont="1" applyFill="1" applyBorder="1" applyAlignment="1">
      <alignment horizontal="center" vertical="center" wrapText="1"/>
    </xf>
    <xf numFmtId="10" fontId="2" fillId="0" borderId="35" xfId="0" applyNumberFormat="1" applyFont="1" applyFill="1" applyBorder="1" applyAlignment="1">
      <alignment horizontal="center" vertical="center"/>
    </xf>
    <xf numFmtId="185" fontId="2" fillId="0" borderId="0" xfId="0" applyNumberFormat="1" applyFont="1" applyFill="1" applyBorder="1" applyAlignment="1">
      <alignment horizontal="center" vertical="center"/>
    </xf>
    <xf numFmtId="184" fontId="2" fillId="0" borderId="0" xfId="1" applyNumberFormat="1" applyFont="1" applyBorder="1" applyAlignment="1">
      <alignment horizontal="center" vertical="center"/>
    </xf>
    <xf numFmtId="184" fontId="2" fillId="0" borderId="0" xfId="23" applyNumberFormat="1" applyFont="1" applyFill="1" applyBorder="1" applyAlignment="1">
      <alignment horizontal="right" vertical="center"/>
    </xf>
    <xf numFmtId="184" fontId="7" fillId="0" borderId="7" xfId="23" applyNumberFormat="1" applyFont="1" applyFill="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Font="1" applyFill="1" applyBorder="1" applyAlignment="1">
      <alignment horizontal="right" vertical="center"/>
    </xf>
    <xf numFmtId="167" fontId="2" fillId="0" borderId="0" xfId="23" applyNumberFormat="1" applyFont="1" applyFill="1" applyBorder="1" applyAlignment="1">
      <alignment horizontal="right" vertical="center"/>
    </xf>
    <xf numFmtId="4"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23" fillId="0" borderId="24" xfId="0" applyNumberFormat="1" applyFont="1" applyBorder="1" applyAlignment="1">
      <alignment horizontal="right" vertical="center"/>
    </xf>
    <xf numFmtId="10" fontId="23" fillId="0" borderId="37"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10" fontId="23" fillId="0" borderId="24" xfId="17" applyNumberFormat="1" applyFont="1" applyBorder="1" applyAlignment="1">
      <alignment horizontal="right" vertical="center"/>
    </xf>
    <xf numFmtId="10" fontId="23" fillId="0" borderId="25" xfId="17" applyNumberFormat="1" applyFont="1" applyBorder="1" applyAlignment="1">
      <alignment horizontal="right" vertical="center"/>
    </xf>
    <xf numFmtId="10" fontId="7" fillId="0" borderId="24" xfId="17" applyNumberFormat="1" applyFont="1" applyBorder="1" applyAlignment="1">
      <alignment horizontal="right" vertical="center"/>
    </xf>
    <xf numFmtId="184" fontId="7" fillId="0" borderId="0" xfId="1" applyNumberFormat="1" applyFont="1" applyBorder="1" applyAlignment="1">
      <alignment horizontal="center" vertical="center"/>
    </xf>
    <xf numFmtId="184" fontId="7" fillId="0" borderId="0" xfId="0" applyNumberFormat="1" applyFont="1" applyAlignment="1">
      <alignment horizontal="center" vertical="center"/>
    </xf>
    <xf numFmtId="184" fontId="7" fillId="0" borderId="0" xfId="0" applyNumberFormat="1" applyFont="1" applyAlignment="1">
      <alignment horizontal="right" vertical="center"/>
    </xf>
    <xf numFmtId="0" fontId="2" fillId="0" borderId="0" xfId="0" applyFont="1" applyFill="1" applyBorder="1" applyAlignment="1">
      <alignment wrapText="1"/>
    </xf>
    <xf numFmtId="0" fontId="2" fillId="0" borderId="0" xfId="0" applyFont="1" applyFill="1" applyBorder="1" applyAlignment="1">
      <alignment horizontal="lef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0" fontId="2" fillId="0" borderId="0" xfId="0" applyFont="1" applyFill="1" applyBorder="1" applyAlignment="1">
      <alignment horizontal="left" vertical="center"/>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184" fontId="2" fillId="0" borderId="65" xfId="116" applyNumberFormat="1" applyFont="1" applyBorder="1" applyAlignment="1">
      <alignment horizontal="right" vertical="center"/>
    </xf>
    <xf numFmtId="0" fontId="79" fillId="0" borderId="0" xfId="0" applyFont="1" applyAlignment="1">
      <alignment vertical="center"/>
    </xf>
    <xf numFmtId="184" fontId="2" fillId="0" borderId="0" xfId="0" applyNumberFormat="1" applyFont="1" applyFill="1" applyAlignment="1">
      <alignment horizontal="center" vertical="center"/>
    </xf>
    <xf numFmtId="0" fontId="2" fillId="0" borderId="4" xfId="23" applyFill="1" applyBorder="1" applyAlignment="1">
      <alignment vertical="center"/>
    </xf>
    <xf numFmtId="166" fontId="2" fillId="0" borderId="65" xfId="116" applyNumberFormat="1" applyFont="1" applyBorder="1" applyAlignment="1">
      <alignment horizontal="right" vertical="center"/>
    </xf>
    <xf numFmtId="0" fontId="2" fillId="0" borderId="30" xfId="23" applyBorder="1" applyAlignment="1">
      <alignment horizontal="center" vertical="center" wrapText="1"/>
    </xf>
    <xf numFmtId="44" fontId="2" fillId="0" borderId="0" xfId="0" applyNumberFormat="1" applyFont="1" applyFill="1" applyAlignment="1">
      <alignment horizontal="right" vertical="center"/>
    </xf>
    <xf numFmtId="0" fontId="80" fillId="0" borderId="9" xfId="0" applyFont="1" applyBorder="1" applyAlignment="1">
      <alignment vertical="center"/>
    </xf>
    <xf numFmtId="15" fontId="0" fillId="0" borderId="0" xfId="0" applyNumberFormat="1"/>
    <xf numFmtId="46" fontId="6" fillId="0" borderId="9" xfId="13" quotePrefix="1" applyNumberFormat="1" applyFont="1" applyFill="1" applyBorder="1" applyAlignment="1">
      <alignment horizontal="center" vertical="center" wrapText="1"/>
    </xf>
    <xf numFmtId="0" fontId="2" fillId="0" borderId="0" xfId="23" applyFont="1" applyFill="1" applyBorder="1" applyAlignment="1">
      <alignment horizontal="center" vertical="center"/>
    </xf>
    <xf numFmtId="0" fontId="61" fillId="2" borderId="55" xfId="20" applyFont="1" applyFill="1" applyBorder="1" applyAlignment="1">
      <alignment horizontal="center" vertical="center" wrapText="1"/>
    </xf>
    <xf numFmtId="184" fontId="2" fillId="0" borderId="0" xfId="1" applyNumberFormat="1" applyFont="1" applyFill="1" applyBorder="1" applyAlignment="1">
      <alignment horizontal="center" vertical="center"/>
    </xf>
    <xf numFmtId="0" fontId="53" fillId="2" borderId="55" xfId="20" applyFont="1" applyFill="1" applyBorder="1" applyAlignment="1">
      <alignment horizontal="center" vertical="center" wrapText="1"/>
    </xf>
    <xf numFmtId="0" fontId="61" fillId="2" borderId="55"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0" fontId="2" fillId="0" borderId="38" xfId="0" applyFont="1" applyFill="1" applyBorder="1" applyAlignment="1">
      <alignment horizontal="center" vertical="center"/>
    </xf>
    <xf numFmtId="0" fontId="2" fillId="0" borderId="38" xfId="0" applyFont="1" applyFill="1" applyBorder="1" applyAlignment="1">
      <alignment vertical="center"/>
    </xf>
    <xf numFmtId="49" fontId="2" fillId="0" borderId="0" xfId="0" applyNumberFormat="1" applyFont="1" applyBorder="1" applyAlignment="1">
      <alignment horizontal="center" vertical="center"/>
    </xf>
    <xf numFmtId="166" fontId="2" fillId="0" borderId="66" xfId="54" applyNumberFormat="1" applyFont="1" applyFill="1" applyBorder="1" applyAlignment="1">
      <alignment horizontal="center" vertical="center"/>
    </xf>
    <xf numFmtId="10" fontId="2" fillId="0" borderId="66" xfId="17" applyNumberFormat="1" applyFont="1" applyBorder="1" applyAlignment="1">
      <alignment horizontal="center" vertical="center"/>
    </xf>
    <xf numFmtId="166" fontId="2" fillId="0" borderId="66" xfId="54" applyNumberFormat="1" applyFont="1" applyBorder="1" applyAlignment="1">
      <alignment horizontal="center" vertical="center" wrapText="1"/>
    </xf>
    <xf numFmtId="166" fontId="2" fillId="0" borderId="66" xfId="54" applyNumberFormat="1" applyFont="1" applyBorder="1" applyAlignment="1">
      <alignment horizontal="center" vertical="center"/>
    </xf>
    <xf numFmtId="177"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168" fontId="23" fillId="0" borderId="32" xfId="17" applyNumberFormat="1" applyFont="1" applyFill="1" applyBorder="1" applyAlignment="1">
      <alignment horizontal="right" vertical="center" wrapText="1"/>
    </xf>
    <xf numFmtId="3" fontId="7" fillId="0" borderId="25" xfId="0" applyNumberFormat="1" applyFont="1" applyBorder="1" applyAlignment="1">
      <alignment horizontal="right" vertical="center"/>
    </xf>
    <xf numFmtId="4" fontId="2" fillId="0" borderId="0" xfId="9" applyNumberFormat="1" applyFont="1" applyFill="1" applyBorder="1" applyAlignment="1">
      <alignment horizontal="left" vertical="center" wrapText="1"/>
    </xf>
    <xf numFmtId="189" fontId="7" fillId="0" borderId="0" xfId="3" applyNumberFormat="1" applyFont="1" applyFill="1" applyAlignment="1">
      <alignment horizontal="center" vertical="center"/>
    </xf>
    <xf numFmtId="184" fontId="7" fillId="0" borderId="0" xfId="0" applyNumberFormat="1" applyFont="1" applyFill="1" applyAlignment="1">
      <alignment horizontal="center" vertical="center"/>
    </xf>
    <xf numFmtId="184" fontId="7" fillId="0" borderId="0" xfId="0" applyNumberFormat="1" applyFont="1" applyFill="1" applyBorder="1" applyAlignment="1">
      <alignment horizontal="center" vertical="center"/>
    </xf>
    <xf numFmtId="4" fontId="22" fillId="0" borderId="0" xfId="9" applyNumberFormat="1" applyFont="1" applyFill="1" applyBorder="1" applyAlignment="1">
      <alignment horizontal="center" vertical="center" wrapText="1"/>
    </xf>
    <xf numFmtId="166" fontId="49" fillId="0" borderId="0" xfId="9" applyNumberFormat="1" applyFont="1" applyFill="1" applyBorder="1" applyAlignment="1">
      <alignment horizontal="center" vertical="center" wrapText="1"/>
    </xf>
    <xf numFmtId="166" fontId="22" fillId="0" borderId="0" xfId="9" applyNumberFormat="1" applyFont="1" applyFill="1" applyBorder="1" applyAlignment="1">
      <alignment horizontal="center" vertical="center" wrapText="1"/>
    </xf>
    <xf numFmtId="166" fontId="2" fillId="0" borderId="0" xfId="117" applyNumberFormat="1" applyFont="1" applyFill="1" applyBorder="1" applyAlignment="1">
      <alignment horizontal="center" vertical="center" wrapText="1"/>
    </xf>
    <xf numFmtId="173" fontId="2" fillId="0" borderId="2" xfId="17" applyNumberFormat="1" applyFont="1" applyFill="1" applyBorder="1" applyAlignment="1">
      <alignment horizontal="right" vertical="center"/>
    </xf>
    <xf numFmtId="0" fontId="2" fillId="0" borderId="2" xfId="23" applyFont="1" applyFill="1" applyBorder="1" applyAlignment="1">
      <alignment horizontal="right" vertical="center"/>
    </xf>
    <xf numFmtId="167" fontId="2" fillId="0" borderId="2" xfId="23" applyNumberFormat="1" applyFont="1" applyFill="1" applyBorder="1" applyAlignment="1">
      <alignment horizontal="right" vertical="center"/>
    </xf>
    <xf numFmtId="0" fontId="81" fillId="0" borderId="0" xfId="0" applyFont="1"/>
    <xf numFmtId="0" fontId="49" fillId="0" borderId="0" xfId="0" applyFont="1"/>
    <xf numFmtId="0" fontId="83" fillId="0" borderId="0" xfId="0" applyFont="1"/>
    <xf numFmtId="3" fontId="23" fillId="0" borderId="24" xfId="0" applyNumberFormat="1" applyFont="1" applyFill="1" applyBorder="1" applyAlignment="1">
      <alignment horizontal="right" vertical="center"/>
    </xf>
    <xf numFmtId="10" fontId="23" fillId="0" borderId="25" xfId="17" applyNumberFormat="1" applyFont="1" applyFill="1" applyBorder="1" applyAlignment="1">
      <alignment horizontal="right" vertical="center"/>
    </xf>
    <xf numFmtId="166" fontId="7" fillId="0" borderId="66" xfId="0" applyNumberFormat="1" applyFont="1" applyFill="1" applyBorder="1" applyAlignment="1">
      <alignment horizontal="right" vertical="center"/>
    </xf>
    <xf numFmtId="166" fontId="2" fillId="0" borderId="66" xfId="0" applyNumberFormat="1" applyFont="1" applyFill="1" applyBorder="1" applyAlignment="1">
      <alignment horizontal="right" vertical="center"/>
    </xf>
    <xf numFmtId="10" fontId="7" fillId="0" borderId="66" xfId="17" applyNumberFormat="1" applyFont="1" applyFill="1" applyBorder="1" applyAlignment="1">
      <alignment vertical="center"/>
    </xf>
    <xf numFmtId="10" fontId="2" fillId="0" borderId="66" xfId="17" applyNumberFormat="1" applyFont="1" applyFill="1" applyBorder="1" applyAlignment="1">
      <alignment vertical="center"/>
    </xf>
    <xf numFmtId="10" fontId="2" fillId="0" borderId="8" xfId="17" applyNumberFormat="1" applyFont="1" applyFill="1" applyBorder="1" applyAlignment="1">
      <alignment vertical="center"/>
    </xf>
    <xf numFmtId="3" fontId="2" fillId="0" borderId="0" xfId="3" applyNumberFormat="1" applyFont="1" applyAlignment="1">
      <alignment horizontal="center" vertical="center"/>
    </xf>
    <xf numFmtId="177" fontId="2" fillId="0" borderId="66" xfId="54" applyNumberFormat="1" applyFont="1" applyFill="1" applyBorder="1" applyAlignment="1">
      <alignment horizontal="center" vertical="center"/>
    </xf>
    <xf numFmtId="0" fontId="9" fillId="29" borderId="0" xfId="49" applyFont="1" applyFill="1" applyAlignment="1">
      <alignment horizontal="center" vertical="center"/>
    </xf>
    <xf numFmtId="9" fontId="2" fillId="0" borderId="0" xfId="17" quotePrefix="1" applyFont="1" applyFill="1" applyBorder="1" applyAlignment="1">
      <alignment horizontal="center" vertical="center"/>
    </xf>
    <xf numFmtId="0" fontId="2" fillId="0" borderId="0" xfId="0" quotePrefix="1" applyFont="1" applyFill="1" applyBorder="1" applyAlignment="1"/>
    <xf numFmtId="44" fontId="2" fillId="0" borderId="0" xfId="119" applyNumberFormat="1" applyFont="1" applyFill="1" applyBorder="1" applyAlignment="1">
      <alignment horizontal="right" vertical="center"/>
    </xf>
    <xf numFmtId="10" fontId="22" fillId="0" borderId="0" xfId="17" applyNumberFormat="1" applyFont="1" applyFill="1" applyBorder="1" applyAlignment="1">
      <alignment horizontal="center" vertical="center" wrapText="1"/>
    </xf>
    <xf numFmtId="44" fontId="2" fillId="0" borderId="0" xfId="0" applyNumberFormat="1" applyFont="1" applyBorder="1" applyAlignment="1">
      <alignment vertical="center"/>
    </xf>
    <xf numFmtId="10" fontId="7" fillId="0" borderId="20" xfId="23" applyNumberFormat="1" applyFont="1" applyFill="1" applyBorder="1" applyAlignment="1">
      <alignment horizontal="center" vertical="center"/>
    </xf>
    <xf numFmtId="0" fontId="84" fillId="0" borderId="0" xfId="0" applyFont="1"/>
    <xf numFmtId="0" fontId="85" fillId="0" borderId="0" xfId="2" applyFont="1" applyAlignment="1" applyProtection="1">
      <alignment vertical="center"/>
    </xf>
    <xf numFmtId="3" fontId="2" fillId="0" borderId="0" xfId="23" applyNumberFormat="1" applyFont="1" applyFill="1" applyBorder="1" applyAlignment="1">
      <alignment vertical="center"/>
    </xf>
    <xf numFmtId="0" fontId="2" fillId="0" borderId="33" xfId="23" applyFont="1" applyFill="1" applyBorder="1" applyAlignment="1">
      <alignment vertical="center"/>
    </xf>
    <xf numFmtId="0" fontId="2" fillId="0" borderId="34" xfId="23" applyFont="1" applyFill="1" applyBorder="1" applyAlignment="1">
      <alignment vertical="center"/>
    </xf>
    <xf numFmtId="0" fontId="7" fillId="0" borderId="2" xfId="23" applyFont="1" applyBorder="1" applyAlignment="1">
      <alignment horizontal="center" vertical="center"/>
    </xf>
    <xf numFmtId="10" fontId="7" fillId="0" borderId="0" xfId="23" applyNumberFormat="1" applyFont="1" applyFill="1" applyBorder="1" applyAlignment="1">
      <alignment horizontal="center" vertical="center"/>
    </xf>
    <xf numFmtId="0" fontId="2" fillId="0" borderId="42" xfId="23" applyFont="1" applyBorder="1" applyAlignment="1">
      <alignment vertical="center"/>
    </xf>
    <xf numFmtId="0" fontId="8" fillId="0" borderId="42" xfId="23" applyFont="1" applyBorder="1" applyAlignment="1">
      <alignment vertical="center"/>
    </xf>
    <xf numFmtId="0" fontId="2" fillId="0" borderId="34" xfId="23" quotePrefix="1" applyFont="1" applyBorder="1" applyAlignment="1">
      <alignment vertical="center"/>
    </xf>
    <xf numFmtId="0" fontId="2" fillId="0" borderId="68" xfId="0" applyFont="1" applyBorder="1" applyAlignment="1">
      <alignment horizontal="center" vertical="center"/>
    </xf>
    <xf numFmtId="166" fontId="2" fillId="0" borderId="33" xfId="0" applyNumberFormat="1" applyFont="1" applyBorder="1" applyAlignment="1">
      <alignment vertical="center"/>
    </xf>
    <xf numFmtId="10" fontId="2" fillId="0" borderId="69" xfId="17" applyNumberFormat="1" applyFont="1" applyBorder="1" applyAlignment="1">
      <alignment vertical="center"/>
    </xf>
    <xf numFmtId="0" fontId="2" fillId="0" borderId="4" xfId="0" applyFont="1" applyBorder="1" applyAlignment="1">
      <alignment horizontal="center" vertical="center"/>
    </xf>
    <xf numFmtId="10" fontId="2" fillId="0" borderId="5" xfId="17" applyNumberFormat="1" applyFont="1" applyBorder="1" applyAlignment="1">
      <alignment vertical="center"/>
    </xf>
    <xf numFmtId="9" fontId="2" fillId="0" borderId="5" xfId="17" applyFont="1" applyBorder="1" applyAlignment="1">
      <alignment vertical="center"/>
    </xf>
    <xf numFmtId="0" fontId="2" fillId="0" borderId="6" xfId="0" applyFont="1" applyBorder="1" applyAlignment="1">
      <alignment horizontal="center" vertical="center"/>
    </xf>
    <xf numFmtId="44" fontId="2" fillId="0" borderId="66" xfId="0" applyNumberFormat="1" applyFont="1" applyBorder="1" applyAlignment="1">
      <alignment vertical="center"/>
    </xf>
    <xf numFmtId="9" fontId="2" fillId="0" borderId="8" xfId="17" applyFont="1" applyBorder="1" applyAlignment="1">
      <alignment vertical="center"/>
    </xf>
    <xf numFmtId="10" fontId="22" fillId="0" borderId="0" xfId="17" applyNumberFormat="1" applyFont="1" applyFill="1" applyBorder="1" applyAlignment="1">
      <alignment horizontal="center" vertical="center" wrapText="1"/>
    </xf>
    <xf numFmtId="14" fontId="49" fillId="0" borderId="0" xfId="9" applyNumberFormat="1" applyFont="1" applyAlignment="1">
      <alignment horizontal="center" vertical="center" wrapText="1"/>
    </xf>
    <xf numFmtId="14" fontId="7" fillId="0" borderId="0" xfId="0" applyNumberFormat="1" applyFont="1" applyFill="1" applyBorder="1" applyAlignment="1">
      <alignment horizontal="center" vertical="center" wrapText="1"/>
    </xf>
    <xf numFmtId="0" fontId="2" fillId="0" borderId="0" xfId="0" applyFont="1" applyBorder="1" applyAlignment="1">
      <alignment vertical="center"/>
    </xf>
    <xf numFmtId="0" fontId="61" fillId="2" borderId="54"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2" fillId="0" borderId="59" xfId="0" applyFont="1" applyBorder="1" applyAlignment="1">
      <alignment vertical="center"/>
    </xf>
    <xf numFmtId="0" fontId="61" fillId="2" borderId="62" xfId="20" applyFont="1" applyFill="1" applyBorder="1" applyAlignment="1">
      <alignment horizontal="center" vertical="center" wrapText="1"/>
    </xf>
    <xf numFmtId="0" fontId="61" fillId="2" borderId="63" xfId="20" applyFont="1" applyFill="1" applyBorder="1" applyAlignment="1">
      <alignment horizontal="center" vertical="center" wrapText="1"/>
    </xf>
    <xf numFmtId="0" fontId="61" fillId="2" borderId="59"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61" fillId="2" borderId="56"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7" xfId="20" applyFont="1" applyFill="1" applyBorder="1" applyAlignment="1">
      <alignment horizontal="center" vertical="center" wrapText="1"/>
    </xf>
    <xf numFmtId="0" fontId="2" fillId="27" borderId="55" xfId="23" applyFont="1" applyFill="1" applyBorder="1" applyAlignment="1">
      <alignment vertical="center"/>
    </xf>
    <xf numFmtId="0" fontId="2" fillId="27" borderId="56" xfId="0" applyFont="1" applyFill="1" applyBorder="1" applyAlignment="1">
      <alignment vertical="center"/>
    </xf>
    <xf numFmtId="0" fontId="2" fillId="27" borderId="35" xfId="0" applyFont="1" applyFill="1" applyBorder="1" applyAlignment="1">
      <alignment vertical="center"/>
    </xf>
    <xf numFmtId="10"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0" fontId="47" fillId="0" borderId="0" xfId="23" quotePrefix="1" applyFont="1" applyFill="1" applyBorder="1" applyAlignment="1">
      <alignment horizontal="left" vertical="center"/>
    </xf>
    <xf numFmtId="0" fontId="47" fillId="0" borderId="0" xfId="0" applyNumberFormat="1" applyFont="1" applyFill="1" applyBorder="1" applyAlignment="1">
      <alignment horizontal="left" vertical="center" wrapText="1"/>
    </xf>
    <xf numFmtId="0" fontId="6" fillId="2" borderId="41" xfId="20" applyFont="1" applyFill="1" applyBorder="1" applyAlignment="1">
      <alignment horizontal="center" vertical="center" wrapText="1"/>
    </xf>
    <xf numFmtId="0" fontId="6" fillId="2" borderId="42" xfId="20" applyFont="1" applyFill="1" applyBorder="1" applyAlignment="1">
      <alignment horizontal="center" vertical="center" wrapText="1"/>
    </xf>
    <xf numFmtId="0" fontId="6" fillId="2" borderId="43"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0" borderId="2" xfId="0" applyFont="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5" xfId="23" applyFont="1" applyFill="1" applyBorder="1" applyAlignment="1">
      <alignment horizontal="center" vertical="center"/>
    </xf>
    <xf numFmtId="0" fontId="2" fillId="2" borderId="56" xfId="23" applyFont="1" applyFill="1" applyBorder="1" applyAlignment="1">
      <alignment horizontal="center" vertical="center"/>
    </xf>
    <xf numFmtId="0" fontId="2" fillId="2" borderId="35" xfId="23"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xf numFmtId="0" fontId="86" fillId="0" borderId="0" xfId="2" applyFont="1" applyAlignment="1" applyProtection="1"/>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684199.27000000048</c:v>
                </c:pt>
                <c:pt idx="1">
                  <c:v>6626179.8199999835</c:v>
                </c:pt>
                <c:pt idx="2">
                  <c:v>16525858.250000188</c:v>
                </c:pt>
                <c:pt idx="3">
                  <c:v>21912238.250000142</c:v>
                </c:pt>
                <c:pt idx="4">
                  <c:v>20140378.580000062</c:v>
                </c:pt>
                <c:pt idx="5">
                  <c:v>33273390.980000079</c:v>
                </c:pt>
                <c:pt idx="6">
                  <c:v>25022623.310000002</c:v>
                </c:pt>
                <c:pt idx="7">
                  <c:v>32489780.370000023</c:v>
                </c:pt>
                <c:pt idx="8">
                  <c:v>23511056.230000027</c:v>
                </c:pt>
                <c:pt idx="9">
                  <c:v>24333309.240000062</c:v>
                </c:pt>
                <c:pt idx="10">
                  <c:v>39591395.119999699</c:v>
                </c:pt>
                <c:pt idx="11">
                  <c:v>23095476.719999991</c:v>
                </c:pt>
                <c:pt idx="12">
                  <c:v>30523264.380000025</c:v>
                </c:pt>
                <c:pt idx="13">
                  <c:v>27556345.120000061</c:v>
                </c:pt>
                <c:pt idx="14">
                  <c:v>22509439.180000011</c:v>
                </c:pt>
                <c:pt idx="15">
                  <c:v>34271463.809999824</c:v>
                </c:pt>
                <c:pt idx="16">
                  <c:v>20028825.09999999</c:v>
                </c:pt>
                <c:pt idx="17">
                  <c:v>22671294.899999995</c:v>
                </c:pt>
                <c:pt idx="18">
                  <c:v>22604640.139999956</c:v>
                </c:pt>
                <c:pt idx="19">
                  <c:v>16940835.870000001</c:v>
                </c:pt>
                <c:pt idx="20">
                  <c:v>28003295.709999938</c:v>
                </c:pt>
                <c:pt idx="21">
                  <c:v>16707650.690000007</c:v>
                </c:pt>
                <c:pt idx="22">
                  <c:v>17344387.779999994</c:v>
                </c:pt>
                <c:pt idx="23">
                  <c:v>14917639.369999981</c:v>
                </c:pt>
                <c:pt idx="24">
                  <c:v>13742336.550000001</c:v>
                </c:pt>
                <c:pt idx="25">
                  <c:v>21773547.749999996</c:v>
                </c:pt>
                <c:pt idx="26">
                  <c:v>15521851.580000022</c:v>
                </c:pt>
                <c:pt idx="27">
                  <c:v>13256179.27</c:v>
                </c:pt>
                <c:pt idx="28">
                  <c:v>10593398.299999988</c:v>
                </c:pt>
                <c:pt idx="29">
                  <c:v>7355038.169999999</c:v>
                </c:pt>
                <c:pt idx="30">
                  <c:v>13319781.74</c:v>
                </c:pt>
                <c:pt idx="31">
                  <c:v>9559634.8500000071</c:v>
                </c:pt>
                <c:pt idx="32">
                  <c:v>9226388.5700000003</c:v>
                </c:pt>
                <c:pt idx="33">
                  <c:v>5770944.6400000015</c:v>
                </c:pt>
                <c:pt idx="34">
                  <c:v>7651258.0999999978</c:v>
                </c:pt>
                <c:pt idx="35">
                  <c:v>7774317.2800000003</c:v>
                </c:pt>
                <c:pt idx="36">
                  <c:v>7512278.4999999981</c:v>
                </c:pt>
                <c:pt idx="37">
                  <c:v>12138887</c:v>
                </c:pt>
                <c:pt idx="38">
                  <c:v>4867344.0200000014</c:v>
                </c:pt>
                <c:pt idx="39">
                  <c:v>6216304.8399999961</c:v>
                </c:pt>
                <c:pt idx="40">
                  <c:v>3645757.6900000004</c:v>
                </c:pt>
                <c:pt idx="41">
                  <c:v>3320144.689999999</c:v>
                </c:pt>
                <c:pt idx="42">
                  <c:v>3065131.9499999997</c:v>
                </c:pt>
                <c:pt idx="43">
                  <c:v>1562120.0999999999</c:v>
                </c:pt>
                <c:pt idx="44">
                  <c:v>1246309.6199999999</c:v>
                </c:pt>
                <c:pt idx="45">
                  <c:v>999428.35</c:v>
                </c:pt>
                <c:pt idx="46">
                  <c:v>187344.47999999998</c:v>
                </c:pt>
                <c:pt idx="47">
                  <c:v>472093.62</c:v>
                </c:pt>
                <c:pt idx="48">
                  <c:v>96459.59</c:v>
                </c:pt>
                <c:pt idx="49">
                  <c:v>198134.5</c:v>
                </c:pt>
                <c:pt idx="50">
                  <c:v>1792769.5500000003</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3922750.760000004</c:v>
                </c:pt>
                <c:pt idx="1">
                  <c:v>12896525.789999979</c:v>
                </c:pt>
                <c:pt idx="2">
                  <c:v>19051403.729999974</c:v>
                </c:pt>
                <c:pt idx="3">
                  <c:v>24780313.699999936</c:v>
                </c:pt>
                <c:pt idx="4">
                  <c:v>22954909.500000078</c:v>
                </c:pt>
                <c:pt idx="5">
                  <c:v>26181268.489999965</c:v>
                </c:pt>
                <c:pt idx="6">
                  <c:v>24704323.91000003</c:v>
                </c:pt>
                <c:pt idx="7">
                  <c:v>27178725.120000012</c:v>
                </c:pt>
                <c:pt idx="8">
                  <c:v>25615550.059999961</c:v>
                </c:pt>
                <c:pt idx="9">
                  <c:v>25795057.439999998</c:v>
                </c:pt>
                <c:pt idx="10">
                  <c:v>23973636.979999997</c:v>
                </c:pt>
                <c:pt idx="11">
                  <c:v>23470396.490000036</c:v>
                </c:pt>
                <c:pt idx="12">
                  <c:v>20375977.189999983</c:v>
                </c:pt>
                <c:pt idx="13">
                  <c:v>20447831.879999988</c:v>
                </c:pt>
                <c:pt idx="14">
                  <c:v>18512302.199999999</c:v>
                </c:pt>
                <c:pt idx="15">
                  <c:v>19157347.899999995</c:v>
                </c:pt>
                <c:pt idx="16">
                  <c:v>17622300.170000009</c:v>
                </c:pt>
                <c:pt idx="17">
                  <c:v>16224609.069999995</c:v>
                </c:pt>
                <c:pt idx="18">
                  <c:v>14144499.609999996</c:v>
                </c:pt>
                <c:pt idx="19">
                  <c:v>14456007.699999996</c:v>
                </c:pt>
                <c:pt idx="20">
                  <c:v>10828904.550000003</c:v>
                </c:pt>
                <c:pt idx="21">
                  <c:v>10824445.54999999</c:v>
                </c:pt>
                <c:pt idx="22">
                  <c:v>9428516.7299999986</c:v>
                </c:pt>
                <c:pt idx="23">
                  <c:v>8971979.9200000037</c:v>
                </c:pt>
                <c:pt idx="24">
                  <c:v>7258058.5199999977</c:v>
                </c:pt>
                <c:pt idx="25">
                  <c:v>7077970.8500000043</c:v>
                </c:pt>
                <c:pt idx="26">
                  <c:v>5685136.5399999991</c:v>
                </c:pt>
                <c:pt idx="27">
                  <c:v>6779731.0700000003</c:v>
                </c:pt>
                <c:pt idx="28">
                  <c:v>4611222.6099999994</c:v>
                </c:pt>
                <c:pt idx="29">
                  <c:v>4291992.2200000007</c:v>
                </c:pt>
                <c:pt idx="30">
                  <c:v>3595868.2000000011</c:v>
                </c:pt>
                <c:pt idx="31">
                  <c:v>2709732.2699999991</c:v>
                </c:pt>
                <c:pt idx="32">
                  <c:v>3247101.8299999987</c:v>
                </c:pt>
                <c:pt idx="33">
                  <c:v>2011022.79</c:v>
                </c:pt>
                <c:pt idx="34">
                  <c:v>1174514.3400000001</c:v>
                </c:pt>
                <c:pt idx="35">
                  <c:v>567035.16</c:v>
                </c:pt>
                <c:pt idx="36">
                  <c:v>585072.31999999995</c:v>
                </c:pt>
                <c:pt idx="37">
                  <c:v>451355.81999999995</c:v>
                </c:pt>
                <c:pt idx="38">
                  <c:v>77906.89</c:v>
                </c:pt>
                <c:pt idx="39">
                  <c:v>316073.88</c:v>
                </c:pt>
                <c:pt idx="40">
                  <c:v>683732.67</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69010105.370000079</c:v>
                </c:pt>
                <c:pt idx="1">
                  <c:v>68025319.290000185</c:v>
                </c:pt>
                <c:pt idx="2">
                  <c:v>19575549.319999956</c:v>
                </c:pt>
                <c:pt idx="3">
                  <c:v>18424884.099999964</c:v>
                </c:pt>
                <c:pt idx="4">
                  <c:v>4391310.0100000026</c:v>
                </c:pt>
                <c:pt idx="5">
                  <c:v>9245282.8599999994</c:v>
                </c:pt>
                <c:pt idx="6">
                  <c:v>35690558.729999967</c:v>
                </c:pt>
                <c:pt idx="7">
                  <c:v>51318754.940000094</c:v>
                </c:pt>
                <c:pt idx="8">
                  <c:v>13531633.269999987</c:v>
                </c:pt>
                <c:pt idx="9">
                  <c:v>105329445.21999975</c:v>
                </c:pt>
                <c:pt idx="10">
                  <c:v>24674591.18999996</c:v>
                </c:pt>
                <c:pt idx="11">
                  <c:v>6885953.0199999912</c:v>
                </c:pt>
                <c:pt idx="12">
                  <c:v>19512437.249999933</c:v>
                </c:pt>
                <c:pt idx="13">
                  <c:v>15810666.230000025</c:v>
                </c:pt>
                <c:pt idx="14">
                  <c:v>16432790.600000035</c:v>
                </c:pt>
                <c:pt idx="15">
                  <c:v>13956341.820000011</c:v>
                </c:pt>
                <c:pt idx="16">
                  <c:v>827489.20000000019</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35447.449999999997</c:v>
                </c:pt>
                <c:pt idx="1">
                  <c:v>1628195.5900000008</c:v>
                </c:pt>
                <c:pt idx="2">
                  <c:v>18598269.219999991</c:v>
                </c:pt>
                <c:pt idx="3">
                  <c:v>13835142.350000003</c:v>
                </c:pt>
                <c:pt idx="4">
                  <c:v>26720127.530000016</c:v>
                </c:pt>
                <c:pt idx="5">
                  <c:v>50847757.870000079</c:v>
                </c:pt>
                <c:pt idx="6">
                  <c:v>66239493.330000214</c:v>
                </c:pt>
                <c:pt idx="7">
                  <c:v>101722945.22000007</c:v>
                </c:pt>
                <c:pt idx="8">
                  <c:v>116745916.3000007</c:v>
                </c:pt>
                <c:pt idx="9">
                  <c:v>62974272.519999988</c:v>
                </c:pt>
                <c:pt idx="10">
                  <c:v>22057747.72000001</c:v>
                </c:pt>
                <c:pt idx="11">
                  <c:v>8086808.3100000042</c:v>
                </c:pt>
                <c:pt idx="12">
                  <c:v>2188313.3000000003</c:v>
                </c:pt>
                <c:pt idx="13">
                  <c:v>962675.70999999973</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0</c:v>
                </c:pt>
                <c:pt idx="5">
                  <c:v>6628874.5499999989</c:v>
                </c:pt>
                <c:pt idx="6">
                  <c:v>31064085.78999994</c:v>
                </c:pt>
                <c:pt idx="7">
                  <c:v>13854867.279999979</c:v>
                </c:pt>
                <c:pt idx="8">
                  <c:v>25900083.220000036</c:v>
                </c:pt>
                <c:pt idx="9">
                  <c:v>87458284.830000222</c:v>
                </c:pt>
                <c:pt idx="10">
                  <c:v>121794242.65000017</c:v>
                </c:pt>
                <c:pt idx="11">
                  <c:v>69142220.449999899</c:v>
                </c:pt>
                <c:pt idx="12">
                  <c:v>57880368.540000007</c:v>
                </c:pt>
                <c:pt idx="13">
                  <c:v>33828163.740000002</c:v>
                </c:pt>
                <c:pt idx="14">
                  <c:v>23441494.010000002</c:v>
                </c:pt>
                <c:pt idx="15">
                  <c:v>12378968.500000002</c:v>
                </c:pt>
                <c:pt idx="16">
                  <c:v>5786886.3899999941</c:v>
                </c:pt>
                <c:pt idx="17">
                  <c:v>1399840.4699999993</c:v>
                </c:pt>
                <c:pt idx="18">
                  <c:v>1153276.5100000002</c:v>
                </c:pt>
                <c:pt idx="19">
                  <c:v>405815.22</c:v>
                </c:pt>
                <c:pt idx="20">
                  <c:v>305876.02999999997</c:v>
                </c:pt>
                <c:pt idx="21">
                  <c:v>56936.540000000008</c:v>
                </c:pt>
                <c:pt idx="22">
                  <c:v>50752.09</c:v>
                </c:pt>
                <c:pt idx="23">
                  <c:v>56027.37</c:v>
                </c:pt>
                <c:pt idx="24">
                  <c:v>16930.32</c:v>
                </c:pt>
                <c:pt idx="25">
                  <c:v>12729.47</c:v>
                </c:pt>
                <c:pt idx="26">
                  <c:v>19735.09</c:v>
                </c:pt>
                <c:pt idx="27">
                  <c:v>6653.3600000000006</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904362.23000000033</c:v>
                </c:pt>
                <c:pt idx="1">
                  <c:v>2768376.7400000049</c:v>
                </c:pt>
                <c:pt idx="2">
                  <c:v>6364759.3200000012</c:v>
                </c:pt>
                <c:pt idx="3">
                  <c:v>7505756.9799999986</c:v>
                </c:pt>
                <c:pt idx="4">
                  <c:v>13185413.450000022</c:v>
                </c:pt>
                <c:pt idx="5">
                  <c:v>15047915.569999976</c:v>
                </c:pt>
                <c:pt idx="6">
                  <c:v>26765472.000000007</c:v>
                </c:pt>
                <c:pt idx="7">
                  <c:v>49087879.970000155</c:v>
                </c:pt>
                <c:pt idx="8">
                  <c:v>92515942.749999955</c:v>
                </c:pt>
                <c:pt idx="9">
                  <c:v>170310975.18000084</c:v>
                </c:pt>
                <c:pt idx="10">
                  <c:v>65411354.909999996</c:v>
                </c:pt>
                <c:pt idx="11">
                  <c:v>37422100.420000002</c:v>
                </c:pt>
                <c:pt idx="12">
                  <c:v>4740969.0599999977</c:v>
                </c:pt>
                <c:pt idx="13">
                  <c:v>462997.12</c:v>
                </c:pt>
                <c:pt idx="14">
                  <c:v>148836.72</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151.21</c:v>
                </c:pt>
                <c:pt idx="1">
                  <c:v>8680.2099999999991</c:v>
                </c:pt>
                <c:pt idx="2">
                  <c:v>182774.29000000004</c:v>
                </c:pt>
                <c:pt idx="3">
                  <c:v>193916.65999999995</c:v>
                </c:pt>
                <c:pt idx="4">
                  <c:v>2422513.0499999984</c:v>
                </c:pt>
                <c:pt idx="5">
                  <c:v>1426964.0900000003</c:v>
                </c:pt>
                <c:pt idx="6">
                  <c:v>7636072.9200000027</c:v>
                </c:pt>
                <c:pt idx="7">
                  <c:v>14494048.840000009</c:v>
                </c:pt>
                <c:pt idx="8">
                  <c:v>5165335.08</c:v>
                </c:pt>
                <c:pt idx="9">
                  <c:v>20370000.239999969</c:v>
                </c:pt>
                <c:pt idx="10">
                  <c:v>7389291.7600000035</c:v>
                </c:pt>
                <c:pt idx="11">
                  <c:v>55305995.140000142</c:v>
                </c:pt>
                <c:pt idx="12">
                  <c:v>239350925.33000079</c:v>
                </c:pt>
                <c:pt idx="13">
                  <c:v>113987828.17999998</c:v>
                </c:pt>
                <c:pt idx="14">
                  <c:v>21278650.790000003</c:v>
                </c:pt>
                <c:pt idx="15">
                  <c:v>3429964.6299999994</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2023-1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200023</xdr:colOff>
      <xdr:row>51</xdr:row>
      <xdr:rowOff>85166</xdr:rowOff>
    </xdr:from>
    <xdr:to>
      <xdr:col>3</xdr:col>
      <xdr:colOff>610898</xdr:colOff>
      <xdr:row>57</xdr:row>
      <xdr:rowOff>69070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3" y="8829116"/>
          <a:ext cx="2811175" cy="1012604"/>
        </a:xfrm>
        <a:prstGeom prst="rect">
          <a:avLst/>
        </a:prstGeom>
      </xdr:spPr>
    </xdr:pic>
    <xdr:clientData/>
  </xdr:twoCellAnchor>
  <xdr:twoCellAnchor editAs="oneCell">
    <xdr:from>
      <xdr:col>0</xdr:col>
      <xdr:colOff>202756</xdr:colOff>
      <xdr:row>41</xdr:row>
      <xdr:rowOff>82569</xdr:rowOff>
    </xdr:from>
    <xdr:to>
      <xdr:col>3</xdr:col>
      <xdr:colOff>640106</xdr:colOff>
      <xdr:row>50</xdr:row>
      <xdr:rowOff>125933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202756" y="7112019"/>
          <a:ext cx="2837650" cy="1586414"/>
        </a:xfrm>
        <a:prstGeom prst="rect">
          <a:avLst/>
        </a:prstGeom>
      </xdr:spPr>
    </xdr:pic>
    <xdr:clientData/>
  </xdr:twoCellAnchor>
  <xdr:twoCellAnchor editAs="oneCell">
    <xdr:from>
      <xdr:col>18</xdr:col>
      <xdr:colOff>304800</xdr:colOff>
      <xdr:row>16</xdr:row>
      <xdr:rowOff>133350</xdr:rowOff>
    </xdr:from>
    <xdr:to>
      <xdr:col>20</xdr:col>
      <xdr:colOff>431297</xdr:colOff>
      <xdr:row>57</xdr:row>
      <xdr:rowOff>46653</xdr:rowOff>
    </xdr:to>
    <xdr:pic>
      <xdr:nvPicPr>
        <xdr:cNvPr id="3" name="Grafik 2">
          <a:extLst>
            <a:ext uri="{FF2B5EF4-FFF2-40B4-BE49-F238E27FC236}">
              <a16:creationId xmlns:a16="http://schemas.microsoft.com/office/drawing/2014/main" id="{970D136E-B565-CC3E-255A-F30BBE04B1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06600" y="2876550"/>
          <a:ext cx="1726697" cy="69427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8543</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174731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179448</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uritization/Projects/IR%20in%20SAS/Monthly_Report_SC%20Germany%20Consumer%20Private%2023-1_Vorlage%20-%20inkl.%20Prepaym.,%20def.,%20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ver Sheet"/>
      <sheetName val="1. Portfolio Information"/>
      <sheetName val="1.1 Portfolio Information p.p."/>
      <sheetName val="2. Reserve Accounts"/>
      <sheetName val="3.1 Delinquency Data"/>
      <sheetName val="3.2 Default Data"/>
      <sheetName val="3.3 Defaults &amp; Recoveries p.p."/>
      <sheetName val="4. Concentration Limits"/>
      <sheetName val="5. Outstanding Notes"/>
      <sheetName val="6. Original Principal Balance"/>
      <sheetName val="6.1 Original PB (Graph)"/>
      <sheetName val="7. Current Principal Balance"/>
      <sheetName val="7.1 Current PB (Graph)"/>
      <sheetName val="8. Borrower Concentration"/>
      <sheetName val="9. Geographical Distribution"/>
      <sheetName val="9.1 Geographical (Graph)"/>
      <sheetName val="10. Collateral"/>
      <sheetName val="11. Insurances"/>
      <sheetName val="12. Payment Methods"/>
      <sheetName val="13. Effective Interest Rate"/>
      <sheetName val="13.1 Eff. Int. Rate (Graph)"/>
      <sheetName val="14. Seasoning"/>
      <sheetName val="14.1 Seasoning (Graph)"/>
      <sheetName val="15. Remaining Term"/>
      <sheetName val="15.1 Remaining Term (Graph)"/>
      <sheetName val="16. Original Term"/>
      <sheetName val="16.1 Original Term (Graph)"/>
      <sheetName val="17. Loan Concentration"/>
      <sheetName val="18. Amortisation profile"/>
      <sheetName val="19. PoP + Transaction Costs"/>
      <sheetName val="20. Retention"/>
      <sheetName val="21. Counterparties"/>
      <sheetName val="22. Issuer Information"/>
      <sheetName val="23. Swap Counterparty Data"/>
      <sheetName val="24. Santander Consumer Bank"/>
      <sheetName val="25. Glossary"/>
      <sheetName val="Daten"/>
      <sheetName val="CalcDaten"/>
      <sheetName val="calc_data"/>
      <sheetName val="delinquency"/>
      <sheetName val="default"/>
      <sheetName val="portfolio p.p."/>
      <sheetName val="amort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B1" t="str">
            <v>RANGE</v>
          </cell>
        </row>
      </sheetData>
      <sheetData sheetId="38">
        <row r="1">
          <cell r="B1" t="str">
            <v>VARIABLE</v>
          </cell>
        </row>
      </sheetData>
      <sheetData sheetId="39"/>
      <sheetData sheetId="40">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delinquency_1</v>
          </cell>
          <cell r="C2" t="str">
            <v>799999990,63</v>
          </cell>
          <cell r="D2" t="str">
            <v>0</v>
          </cell>
          <cell r="E2" t="str">
            <v>0</v>
          </cell>
          <cell r="F2" t="str">
            <v>0</v>
          </cell>
          <cell r="G2" t="str">
            <v>0</v>
          </cell>
          <cell r="H2" t="str">
            <v>0</v>
          </cell>
          <cell r="I2" t="str">
            <v>0</v>
          </cell>
          <cell r="J2" t="str">
            <v>0</v>
          </cell>
          <cell r="K2" t="str">
            <v>0</v>
          </cell>
        </row>
        <row r="3">
          <cell r="B3" t="str">
            <v>delinquency_2</v>
          </cell>
          <cell r="C3" t="str">
            <v>799999986,33</v>
          </cell>
          <cell r="D3" t="str">
            <v>43762,42</v>
          </cell>
          <cell r="E3" t="str">
            <v>359046,33</v>
          </cell>
          <cell r="F3" t="str">
            <v>181865,16</v>
          </cell>
          <cell r="G3" t="str">
            <v>248817,39</v>
          </cell>
          <cell r="H3" t="str">
            <v>916,74</v>
          </cell>
          <cell r="I3" t="str">
            <v>9165,75</v>
          </cell>
          <cell r="J3" t="str">
            <v>6923,66</v>
          </cell>
          <cell r="K3" t="str">
            <v>14070,47</v>
          </cell>
        </row>
        <row r="4">
          <cell r="B4" t="str">
            <v>delinquency_3</v>
          </cell>
          <cell r="C4" t="str">
            <v/>
          </cell>
          <cell r="D4" t="str">
            <v/>
          </cell>
          <cell r="E4" t="str">
            <v/>
          </cell>
          <cell r="F4" t="str">
            <v/>
          </cell>
          <cell r="G4" t="str">
            <v/>
          </cell>
          <cell r="H4" t="str">
            <v/>
          </cell>
          <cell r="I4" t="str">
            <v/>
          </cell>
          <cell r="J4" t="str">
            <v/>
          </cell>
          <cell r="K4" t="str">
            <v/>
          </cell>
        </row>
        <row r="5">
          <cell r="B5" t="str">
            <v>delinquency_4</v>
          </cell>
          <cell r="C5" t="str">
            <v/>
          </cell>
          <cell r="D5" t="str">
            <v/>
          </cell>
          <cell r="E5" t="str">
            <v/>
          </cell>
          <cell r="F5" t="str">
            <v/>
          </cell>
          <cell r="G5" t="str">
            <v/>
          </cell>
          <cell r="H5" t="str">
            <v/>
          </cell>
          <cell r="I5" t="str">
            <v/>
          </cell>
          <cell r="J5" t="str">
            <v/>
          </cell>
          <cell r="K5" t="str">
            <v/>
          </cell>
        </row>
        <row r="6">
          <cell r="B6" t="str">
            <v>delinquency_5</v>
          </cell>
          <cell r="C6" t="str">
            <v/>
          </cell>
          <cell r="D6" t="str">
            <v/>
          </cell>
          <cell r="E6" t="str">
            <v/>
          </cell>
          <cell r="F6" t="str">
            <v/>
          </cell>
          <cell r="G6" t="str">
            <v/>
          </cell>
          <cell r="H6" t="str">
            <v/>
          </cell>
          <cell r="I6" t="str">
            <v/>
          </cell>
          <cell r="J6" t="str">
            <v/>
          </cell>
          <cell r="K6" t="str">
            <v/>
          </cell>
        </row>
        <row r="7">
          <cell r="B7" t="str">
            <v>delinquency_6</v>
          </cell>
          <cell r="C7" t="str">
            <v/>
          </cell>
          <cell r="D7" t="str">
            <v/>
          </cell>
          <cell r="E7" t="str">
            <v/>
          </cell>
          <cell r="F7" t="str">
            <v/>
          </cell>
          <cell r="G7" t="str">
            <v/>
          </cell>
          <cell r="H7" t="str">
            <v/>
          </cell>
          <cell r="I7" t="str">
            <v/>
          </cell>
          <cell r="J7" t="str">
            <v/>
          </cell>
          <cell r="K7" t="str">
            <v/>
          </cell>
        </row>
        <row r="8">
          <cell r="B8" t="str">
            <v>delinquency_7</v>
          </cell>
          <cell r="C8" t="str">
            <v/>
          </cell>
          <cell r="D8" t="str">
            <v/>
          </cell>
          <cell r="E8" t="str">
            <v/>
          </cell>
          <cell r="F8" t="str">
            <v/>
          </cell>
          <cell r="G8" t="str">
            <v/>
          </cell>
          <cell r="H8" t="str">
            <v/>
          </cell>
          <cell r="I8" t="str">
            <v/>
          </cell>
          <cell r="J8" t="str">
            <v/>
          </cell>
          <cell r="K8" t="str">
            <v/>
          </cell>
        </row>
        <row r="9">
          <cell r="B9" t="str">
            <v>delinquency_8</v>
          </cell>
          <cell r="C9" t="str">
            <v/>
          </cell>
          <cell r="D9" t="str">
            <v/>
          </cell>
          <cell r="E9" t="str">
            <v/>
          </cell>
          <cell r="F9" t="str">
            <v/>
          </cell>
          <cell r="G9" t="str">
            <v/>
          </cell>
          <cell r="H9" t="str">
            <v/>
          </cell>
          <cell r="I9" t="str">
            <v/>
          </cell>
          <cell r="J9" t="str">
            <v/>
          </cell>
          <cell r="K9" t="str">
            <v/>
          </cell>
        </row>
        <row r="10">
          <cell r="B10" t="str">
            <v>delinquency_9</v>
          </cell>
          <cell r="C10" t="str">
            <v/>
          </cell>
          <cell r="D10" t="str">
            <v/>
          </cell>
          <cell r="E10" t="str">
            <v/>
          </cell>
          <cell r="F10" t="str">
            <v/>
          </cell>
          <cell r="G10" t="str">
            <v/>
          </cell>
          <cell r="H10" t="str">
            <v/>
          </cell>
          <cell r="I10" t="str">
            <v/>
          </cell>
          <cell r="J10" t="str">
            <v/>
          </cell>
          <cell r="K10" t="str">
            <v/>
          </cell>
        </row>
        <row r="11">
          <cell r="B11" t="str">
            <v>delinquency_10</v>
          </cell>
          <cell r="C11" t="str">
            <v/>
          </cell>
          <cell r="D11" t="str">
            <v/>
          </cell>
          <cell r="E11" t="str">
            <v/>
          </cell>
          <cell r="F11" t="str">
            <v/>
          </cell>
          <cell r="G11" t="str">
            <v/>
          </cell>
          <cell r="H11" t="str">
            <v/>
          </cell>
          <cell r="I11" t="str">
            <v/>
          </cell>
          <cell r="J11" t="str">
            <v/>
          </cell>
          <cell r="K11" t="str">
            <v/>
          </cell>
        </row>
        <row r="12">
          <cell r="B12" t="str">
            <v>delinquency_11</v>
          </cell>
          <cell r="C12" t="str">
            <v/>
          </cell>
          <cell r="D12" t="str">
            <v/>
          </cell>
          <cell r="E12" t="str">
            <v/>
          </cell>
          <cell r="F12" t="str">
            <v/>
          </cell>
          <cell r="G12" t="str">
            <v/>
          </cell>
          <cell r="H12" t="str">
            <v/>
          </cell>
          <cell r="I12" t="str">
            <v/>
          </cell>
          <cell r="J12" t="str">
            <v/>
          </cell>
          <cell r="K12" t="str">
            <v/>
          </cell>
        </row>
        <row r="13">
          <cell r="B13" t="str">
            <v>delinquency_12</v>
          </cell>
          <cell r="C13" t="str">
            <v/>
          </cell>
          <cell r="D13" t="str">
            <v/>
          </cell>
          <cell r="E13" t="str">
            <v/>
          </cell>
          <cell r="F13" t="str">
            <v/>
          </cell>
          <cell r="G13" t="str">
            <v/>
          </cell>
          <cell r="H13" t="str">
            <v/>
          </cell>
          <cell r="I13" t="str">
            <v/>
          </cell>
          <cell r="J13" t="str">
            <v/>
          </cell>
          <cell r="K13" t="str">
            <v/>
          </cell>
        </row>
        <row r="14">
          <cell r="B14" t="str">
            <v>delinquency_13</v>
          </cell>
          <cell r="C14" t="str">
            <v/>
          </cell>
          <cell r="D14" t="str">
            <v/>
          </cell>
          <cell r="E14" t="str">
            <v/>
          </cell>
          <cell r="F14" t="str">
            <v/>
          </cell>
          <cell r="G14" t="str">
            <v/>
          </cell>
          <cell r="H14" t="str">
            <v/>
          </cell>
          <cell r="I14" t="str">
            <v/>
          </cell>
          <cell r="J14" t="str">
            <v/>
          </cell>
          <cell r="K14" t="str">
            <v/>
          </cell>
        </row>
        <row r="15">
          <cell r="B15" t="str">
            <v>delinquency_14</v>
          </cell>
          <cell r="C15" t="str">
            <v/>
          </cell>
          <cell r="D15" t="str">
            <v/>
          </cell>
          <cell r="E15" t="str">
            <v/>
          </cell>
          <cell r="F15" t="str">
            <v/>
          </cell>
          <cell r="G15" t="str">
            <v/>
          </cell>
          <cell r="H15" t="str">
            <v/>
          </cell>
          <cell r="I15" t="str">
            <v/>
          </cell>
          <cell r="J15" t="str">
            <v/>
          </cell>
          <cell r="K15" t="str">
            <v/>
          </cell>
        </row>
        <row r="16">
          <cell r="B16" t="str">
            <v>delinquency_15</v>
          </cell>
          <cell r="C16" t="str">
            <v/>
          </cell>
          <cell r="D16" t="str">
            <v/>
          </cell>
          <cell r="E16" t="str">
            <v/>
          </cell>
          <cell r="F16" t="str">
            <v/>
          </cell>
          <cell r="G16" t="str">
            <v/>
          </cell>
          <cell r="H16" t="str">
            <v/>
          </cell>
          <cell r="I16" t="str">
            <v/>
          </cell>
          <cell r="J16" t="str">
            <v/>
          </cell>
          <cell r="K16" t="str">
            <v/>
          </cell>
        </row>
        <row r="17">
          <cell r="B17" t="str">
            <v>delinquency_16</v>
          </cell>
          <cell r="C17" t="str">
            <v/>
          </cell>
          <cell r="D17" t="str">
            <v/>
          </cell>
          <cell r="E17" t="str">
            <v/>
          </cell>
          <cell r="F17" t="str">
            <v/>
          </cell>
          <cell r="G17" t="str">
            <v/>
          </cell>
          <cell r="H17" t="str">
            <v/>
          </cell>
          <cell r="I17" t="str">
            <v/>
          </cell>
          <cell r="J17" t="str">
            <v/>
          </cell>
          <cell r="K17" t="str">
            <v/>
          </cell>
        </row>
        <row r="18">
          <cell r="B18" t="str">
            <v>delinquency_17</v>
          </cell>
          <cell r="C18" t="str">
            <v/>
          </cell>
          <cell r="D18" t="str">
            <v/>
          </cell>
          <cell r="E18" t="str">
            <v/>
          </cell>
          <cell r="F18" t="str">
            <v/>
          </cell>
          <cell r="G18" t="str">
            <v/>
          </cell>
          <cell r="H18" t="str">
            <v/>
          </cell>
          <cell r="I18" t="str">
            <v/>
          </cell>
          <cell r="J18" t="str">
            <v/>
          </cell>
          <cell r="K18" t="str">
            <v/>
          </cell>
        </row>
        <row r="19">
          <cell r="B19" t="str">
            <v>delinquency_18</v>
          </cell>
          <cell r="C19" t="str">
            <v/>
          </cell>
          <cell r="D19" t="str">
            <v/>
          </cell>
          <cell r="E19" t="str">
            <v/>
          </cell>
          <cell r="F19" t="str">
            <v/>
          </cell>
          <cell r="G19" t="str">
            <v/>
          </cell>
          <cell r="H19" t="str">
            <v/>
          </cell>
          <cell r="I19" t="str">
            <v/>
          </cell>
          <cell r="J19" t="str">
            <v/>
          </cell>
          <cell r="K19" t="str">
            <v/>
          </cell>
        </row>
        <row r="20">
          <cell r="B20" t="str">
            <v>delinquency_19</v>
          </cell>
          <cell r="C20" t="str">
            <v/>
          </cell>
          <cell r="D20" t="str">
            <v/>
          </cell>
          <cell r="E20" t="str">
            <v/>
          </cell>
          <cell r="F20" t="str">
            <v/>
          </cell>
          <cell r="G20" t="str">
            <v/>
          </cell>
          <cell r="H20" t="str">
            <v/>
          </cell>
          <cell r="I20" t="str">
            <v/>
          </cell>
          <cell r="J20" t="str">
            <v/>
          </cell>
          <cell r="K20" t="str">
            <v/>
          </cell>
        </row>
        <row r="21">
          <cell r="B21" t="str">
            <v>delinquency_20</v>
          </cell>
          <cell r="C21" t="str">
            <v/>
          </cell>
          <cell r="D21" t="str">
            <v/>
          </cell>
          <cell r="E21" t="str">
            <v/>
          </cell>
          <cell r="F21" t="str">
            <v/>
          </cell>
          <cell r="G21" t="str">
            <v/>
          </cell>
          <cell r="H21" t="str">
            <v/>
          </cell>
          <cell r="I21" t="str">
            <v/>
          </cell>
          <cell r="J21" t="str">
            <v/>
          </cell>
          <cell r="K21" t="str">
            <v/>
          </cell>
        </row>
        <row r="22">
          <cell r="B22" t="str">
            <v>delinquency_21</v>
          </cell>
          <cell r="C22" t="str">
            <v/>
          </cell>
          <cell r="D22" t="str">
            <v/>
          </cell>
          <cell r="E22" t="str">
            <v/>
          </cell>
          <cell r="F22" t="str">
            <v/>
          </cell>
          <cell r="G22" t="str">
            <v/>
          </cell>
          <cell r="H22" t="str">
            <v/>
          </cell>
          <cell r="I22" t="str">
            <v/>
          </cell>
          <cell r="J22" t="str">
            <v/>
          </cell>
          <cell r="K22" t="str">
            <v/>
          </cell>
        </row>
        <row r="23">
          <cell r="B23" t="str">
            <v>delinquency_22</v>
          </cell>
          <cell r="C23" t="str">
            <v/>
          </cell>
          <cell r="D23" t="str">
            <v/>
          </cell>
          <cell r="E23" t="str">
            <v/>
          </cell>
          <cell r="F23" t="str">
            <v/>
          </cell>
          <cell r="G23" t="str">
            <v/>
          </cell>
          <cell r="H23" t="str">
            <v/>
          </cell>
          <cell r="I23" t="str">
            <v/>
          </cell>
          <cell r="J23" t="str">
            <v/>
          </cell>
          <cell r="K23" t="str">
            <v/>
          </cell>
        </row>
        <row r="24">
          <cell r="B24" t="str">
            <v>delinquency_23</v>
          </cell>
          <cell r="C24" t="str">
            <v/>
          </cell>
          <cell r="D24" t="str">
            <v/>
          </cell>
          <cell r="E24" t="str">
            <v/>
          </cell>
          <cell r="F24" t="str">
            <v/>
          </cell>
          <cell r="G24" t="str">
            <v/>
          </cell>
          <cell r="H24" t="str">
            <v/>
          </cell>
          <cell r="I24" t="str">
            <v/>
          </cell>
          <cell r="J24" t="str">
            <v/>
          </cell>
          <cell r="K24" t="str">
            <v/>
          </cell>
        </row>
        <row r="25">
          <cell r="B25" t="str">
            <v>delinquency_24</v>
          </cell>
          <cell r="C25" t="str">
            <v/>
          </cell>
          <cell r="D25" t="str">
            <v/>
          </cell>
          <cell r="E25" t="str">
            <v/>
          </cell>
          <cell r="F25" t="str">
            <v/>
          </cell>
          <cell r="G25" t="str">
            <v/>
          </cell>
          <cell r="H25" t="str">
            <v/>
          </cell>
          <cell r="I25" t="str">
            <v/>
          </cell>
          <cell r="J25" t="str">
            <v/>
          </cell>
          <cell r="K25" t="str">
            <v/>
          </cell>
        </row>
        <row r="26">
          <cell r="B26" t="str">
            <v>delinquency_25</v>
          </cell>
          <cell r="C26" t="str">
            <v/>
          </cell>
          <cell r="D26" t="str">
            <v/>
          </cell>
          <cell r="E26" t="str">
            <v/>
          </cell>
          <cell r="F26" t="str">
            <v/>
          </cell>
          <cell r="G26" t="str">
            <v/>
          </cell>
          <cell r="H26" t="str">
            <v/>
          </cell>
          <cell r="I26" t="str">
            <v/>
          </cell>
          <cell r="J26" t="str">
            <v/>
          </cell>
          <cell r="K26" t="str">
            <v/>
          </cell>
        </row>
        <row r="27">
          <cell r="B27" t="str">
            <v>delinquency_26</v>
          </cell>
          <cell r="C27" t="str">
            <v/>
          </cell>
          <cell r="D27" t="str">
            <v/>
          </cell>
          <cell r="E27" t="str">
            <v/>
          </cell>
          <cell r="F27" t="str">
            <v/>
          </cell>
          <cell r="G27" t="str">
            <v/>
          </cell>
          <cell r="H27" t="str">
            <v/>
          </cell>
          <cell r="I27" t="str">
            <v/>
          </cell>
          <cell r="J27" t="str">
            <v/>
          </cell>
          <cell r="K27" t="str">
            <v/>
          </cell>
        </row>
        <row r="28">
          <cell r="B28" t="str">
            <v>delinquency_27</v>
          </cell>
          <cell r="C28" t="str">
            <v/>
          </cell>
          <cell r="D28" t="str">
            <v/>
          </cell>
          <cell r="E28" t="str">
            <v/>
          </cell>
          <cell r="F28" t="str">
            <v/>
          </cell>
          <cell r="G28" t="str">
            <v/>
          </cell>
          <cell r="H28" t="str">
            <v/>
          </cell>
          <cell r="I28" t="str">
            <v/>
          </cell>
          <cell r="J28" t="str">
            <v/>
          </cell>
          <cell r="K28" t="str">
            <v/>
          </cell>
        </row>
        <row r="29">
          <cell r="B29" t="str">
            <v>delinquency_28</v>
          </cell>
          <cell r="C29" t="str">
            <v/>
          </cell>
          <cell r="D29" t="str">
            <v/>
          </cell>
          <cell r="E29" t="str">
            <v/>
          </cell>
          <cell r="F29" t="str">
            <v/>
          </cell>
          <cell r="G29" t="str">
            <v/>
          </cell>
          <cell r="H29" t="str">
            <v/>
          </cell>
          <cell r="I29" t="str">
            <v/>
          </cell>
          <cell r="J29" t="str">
            <v/>
          </cell>
          <cell r="K29" t="str">
            <v/>
          </cell>
        </row>
        <row r="30">
          <cell r="B30" t="str">
            <v>delinquency_29</v>
          </cell>
          <cell r="C30" t="str">
            <v/>
          </cell>
          <cell r="D30" t="str">
            <v/>
          </cell>
          <cell r="E30" t="str">
            <v/>
          </cell>
          <cell r="F30" t="str">
            <v/>
          </cell>
          <cell r="G30" t="str">
            <v/>
          </cell>
          <cell r="H30" t="str">
            <v/>
          </cell>
          <cell r="I30" t="str">
            <v/>
          </cell>
          <cell r="J30" t="str">
            <v/>
          </cell>
          <cell r="K30" t="str">
            <v/>
          </cell>
        </row>
        <row r="31">
          <cell r="B31" t="str">
            <v>delinquency_30</v>
          </cell>
          <cell r="C31" t="str">
            <v/>
          </cell>
          <cell r="D31" t="str">
            <v/>
          </cell>
          <cell r="E31" t="str">
            <v/>
          </cell>
          <cell r="F31" t="str">
            <v/>
          </cell>
          <cell r="G31" t="str">
            <v/>
          </cell>
          <cell r="H31" t="str">
            <v/>
          </cell>
          <cell r="I31" t="str">
            <v/>
          </cell>
          <cell r="J31" t="str">
            <v/>
          </cell>
          <cell r="K31" t="str">
            <v/>
          </cell>
        </row>
        <row r="32">
          <cell r="B32" t="str">
            <v>delinquency_31</v>
          </cell>
          <cell r="C32" t="str">
            <v/>
          </cell>
          <cell r="D32" t="str">
            <v/>
          </cell>
          <cell r="E32" t="str">
            <v/>
          </cell>
          <cell r="F32" t="str">
            <v/>
          </cell>
          <cell r="G32" t="str">
            <v/>
          </cell>
          <cell r="H32" t="str">
            <v/>
          </cell>
          <cell r="I32" t="str">
            <v/>
          </cell>
          <cell r="J32" t="str">
            <v/>
          </cell>
          <cell r="K32" t="str">
            <v/>
          </cell>
        </row>
        <row r="33">
          <cell r="B33" t="str">
            <v>delinquency_32</v>
          </cell>
          <cell r="C33" t="str">
            <v/>
          </cell>
          <cell r="D33" t="str">
            <v/>
          </cell>
          <cell r="E33" t="str">
            <v/>
          </cell>
          <cell r="F33" t="str">
            <v/>
          </cell>
          <cell r="G33" t="str">
            <v/>
          </cell>
          <cell r="H33" t="str">
            <v/>
          </cell>
          <cell r="I33" t="str">
            <v/>
          </cell>
          <cell r="J33" t="str">
            <v/>
          </cell>
          <cell r="K33" t="str">
            <v/>
          </cell>
        </row>
        <row r="34">
          <cell r="B34" t="str">
            <v>delinquency_33</v>
          </cell>
          <cell r="C34" t="str">
            <v/>
          </cell>
          <cell r="D34" t="str">
            <v/>
          </cell>
          <cell r="E34" t="str">
            <v/>
          </cell>
          <cell r="F34" t="str">
            <v/>
          </cell>
          <cell r="G34" t="str">
            <v/>
          </cell>
          <cell r="H34" t="str">
            <v/>
          </cell>
          <cell r="I34" t="str">
            <v/>
          </cell>
          <cell r="J34" t="str">
            <v/>
          </cell>
          <cell r="K34" t="str">
            <v/>
          </cell>
        </row>
        <row r="35">
          <cell r="B35" t="str">
            <v>delinquency_34</v>
          </cell>
          <cell r="C35" t="str">
            <v/>
          </cell>
          <cell r="D35" t="str">
            <v/>
          </cell>
          <cell r="E35" t="str">
            <v/>
          </cell>
          <cell r="F35" t="str">
            <v/>
          </cell>
          <cell r="G35" t="str">
            <v/>
          </cell>
          <cell r="H35" t="str">
            <v/>
          </cell>
          <cell r="I35" t="str">
            <v/>
          </cell>
          <cell r="J35" t="str">
            <v/>
          </cell>
          <cell r="K35" t="str">
            <v/>
          </cell>
        </row>
        <row r="36">
          <cell r="B36" t="str">
            <v>delinquency_35</v>
          </cell>
          <cell r="C36" t="str">
            <v/>
          </cell>
          <cell r="D36" t="str">
            <v/>
          </cell>
          <cell r="E36" t="str">
            <v/>
          </cell>
          <cell r="F36" t="str">
            <v/>
          </cell>
          <cell r="G36" t="str">
            <v/>
          </cell>
          <cell r="H36" t="str">
            <v/>
          </cell>
          <cell r="I36" t="str">
            <v/>
          </cell>
          <cell r="J36" t="str">
            <v/>
          </cell>
          <cell r="K36" t="str">
            <v/>
          </cell>
        </row>
        <row r="37">
          <cell r="B37" t="str">
            <v>delinquency_36</v>
          </cell>
          <cell r="C37" t="str">
            <v/>
          </cell>
          <cell r="D37" t="str">
            <v/>
          </cell>
          <cell r="E37" t="str">
            <v/>
          </cell>
          <cell r="F37" t="str">
            <v/>
          </cell>
          <cell r="G37" t="str">
            <v/>
          </cell>
          <cell r="H37" t="str">
            <v/>
          </cell>
          <cell r="I37" t="str">
            <v/>
          </cell>
          <cell r="J37" t="str">
            <v/>
          </cell>
          <cell r="K37" t="str">
            <v/>
          </cell>
        </row>
        <row r="38">
          <cell r="B38" t="str">
            <v>delinquency_37</v>
          </cell>
          <cell r="C38" t="str">
            <v/>
          </cell>
          <cell r="D38" t="str">
            <v/>
          </cell>
          <cell r="E38" t="str">
            <v/>
          </cell>
          <cell r="F38" t="str">
            <v/>
          </cell>
          <cell r="G38" t="str">
            <v/>
          </cell>
          <cell r="H38" t="str">
            <v/>
          </cell>
          <cell r="I38" t="str">
            <v/>
          </cell>
          <cell r="J38" t="str">
            <v/>
          </cell>
          <cell r="K38" t="str">
            <v/>
          </cell>
        </row>
        <row r="39">
          <cell r="B39" t="str">
            <v>delinquency_38</v>
          </cell>
          <cell r="C39" t="str">
            <v/>
          </cell>
          <cell r="D39" t="str">
            <v/>
          </cell>
          <cell r="E39" t="str">
            <v/>
          </cell>
          <cell r="F39" t="str">
            <v/>
          </cell>
          <cell r="G39" t="str">
            <v/>
          </cell>
          <cell r="H39" t="str">
            <v/>
          </cell>
          <cell r="I39" t="str">
            <v/>
          </cell>
          <cell r="J39" t="str">
            <v/>
          </cell>
          <cell r="K39" t="str">
            <v/>
          </cell>
        </row>
        <row r="40">
          <cell r="B40" t="str">
            <v>delinquency_39</v>
          </cell>
          <cell r="C40" t="str">
            <v/>
          </cell>
          <cell r="D40" t="str">
            <v/>
          </cell>
          <cell r="E40" t="str">
            <v/>
          </cell>
          <cell r="F40" t="str">
            <v/>
          </cell>
          <cell r="G40" t="str">
            <v/>
          </cell>
          <cell r="H40" t="str">
            <v/>
          </cell>
          <cell r="I40" t="str">
            <v/>
          </cell>
          <cell r="J40" t="str">
            <v/>
          </cell>
          <cell r="K40" t="str">
            <v/>
          </cell>
        </row>
        <row r="41">
          <cell r="B41" t="str">
            <v>delinquency_40</v>
          </cell>
          <cell r="C41" t="str">
            <v/>
          </cell>
          <cell r="D41" t="str">
            <v/>
          </cell>
          <cell r="E41" t="str">
            <v/>
          </cell>
          <cell r="F41" t="str">
            <v/>
          </cell>
          <cell r="G41" t="str">
            <v/>
          </cell>
          <cell r="H41" t="str">
            <v/>
          </cell>
          <cell r="I41" t="str">
            <v/>
          </cell>
          <cell r="J41" t="str">
            <v/>
          </cell>
          <cell r="K41" t="str">
            <v/>
          </cell>
        </row>
        <row r="42">
          <cell r="B42" t="str">
            <v>delinquency_41</v>
          </cell>
          <cell r="C42" t="str">
            <v/>
          </cell>
          <cell r="D42" t="str">
            <v/>
          </cell>
          <cell r="E42" t="str">
            <v/>
          </cell>
          <cell r="F42" t="str">
            <v/>
          </cell>
          <cell r="G42" t="str">
            <v/>
          </cell>
          <cell r="H42" t="str">
            <v/>
          </cell>
          <cell r="I42" t="str">
            <v/>
          </cell>
          <cell r="J42" t="str">
            <v/>
          </cell>
          <cell r="K42" t="str">
            <v/>
          </cell>
        </row>
        <row r="43">
          <cell r="B43" t="str">
            <v>delinquency_42</v>
          </cell>
          <cell r="C43" t="str">
            <v/>
          </cell>
          <cell r="D43" t="str">
            <v/>
          </cell>
          <cell r="E43" t="str">
            <v/>
          </cell>
          <cell r="F43" t="str">
            <v/>
          </cell>
          <cell r="G43" t="str">
            <v/>
          </cell>
          <cell r="H43" t="str">
            <v/>
          </cell>
          <cell r="I43" t="str">
            <v/>
          </cell>
          <cell r="J43" t="str">
            <v/>
          </cell>
          <cell r="K43" t="str">
            <v/>
          </cell>
        </row>
        <row r="44">
          <cell r="B44" t="str">
            <v>delinquency_43</v>
          </cell>
          <cell r="C44" t="str">
            <v/>
          </cell>
          <cell r="D44" t="str">
            <v/>
          </cell>
          <cell r="E44" t="str">
            <v/>
          </cell>
          <cell r="F44" t="str">
            <v/>
          </cell>
          <cell r="G44" t="str">
            <v/>
          </cell>
          <cell r="H44" t="str">
            <v/>
          </cell>
          <cell r="I44" t="str">
            <v/>
          </cell>
          <cell r="J44" t="str">
            <v/>
          </cell>
          <cell r="K44" t="str">
            <v/>
          </cell>
        </row>
        <row r="45">
          <cell r="B45" t="str">
            <v>delinquency_44</v>
          </cell>
          <cell r="C45" t="str">
            <v/>
          </cell>
          <cell r="D45" t="str">
            <v/>
          </cell>
          <cell r="E45" t="str">
            <v/>
          </cell>
          <cell r="F45" t="str">
            <v/>
          </cell>
          <cell r="G45" t="str">
            <v/>
          </cell>
          <cell r="H45" t="str">
            <v/>
          </cell>
          <cell r="I45" t="str">
            <v/>
          </cell>
          <cell r="J45" t="str">
            <v/>
          </cell>
          <cell r="K45" t="str">
            <v/>
          </cell>
        </row>
        <row r="46">
          <cell r="B46" t="str">
            <v>delinquency_45</v>
          </cell>
          <cell r="C46" t="str">
            <v/>
          </cell>
          <cell r="D46" t="str">
            <v/>
          </cell>
          <cell r="E46" t="str">
            <v/>
          </cell>
          <cell r="F46" t="str">
            <v/>
          </cell>
          <cell r="G46" t="str">
            <v/>
          </cell>
          <cell r="H46" t="str">
            <v/>
          </cell>
          <cell r="I46" t="str">
            <v/>
          </cell>
          <cell r="J46" t="str">
            <v/>
          </cell>
          <cell r="K46" t="str">
            <v/>
          </cell>
        </row>
        <row r="47">
          <cell r="B47" t="str">
            <v>delinquency_46</v>
          </cell>
          <cell r="C47" t="str">
            <v/>
          </cell>
          <cell r="D47" t="str">
            <v/>
          </cell>
          <cell r="E47" t="str">
            <v/>
          </cell>
          <cell r="F47" t="str">
            <v/>
          </cell>
          <cell r="G47" t="str">
            <v/>
          </cell>
          <cell r="H47" t="str">
            <v/>
          </cell>
          <cell r="I47" t="str">
            <v/>
          </cell>
          <cell r="J47" t="str">
            <v/>
          </cell>
          <cell r="K47" t="str">
            <v/>
          </cell>
        </row>
        <row r="48">
          <cell r="B48" t="str">
            <v>delinquency_47</v>
          </cell>
          <cell r="C48" t="str">
            <v/>
          </cell>
          <cell r="D48" t="str">
            <v/>
          </cell>
          <cell r="E48" t="str">
            <v/>
          </cell>
          <cell r="F48" t="str">
            <v/>
          </cell>
          <cell r="G48" t="str">
            <v/>
          </cell>
          <cell r="H48" t="str">
            <v/>
          </cell>
          <cell r="I48" t="str">
            <v/>
          </cell>
          <cell r="J48" t="str">
            <v/>
          </cell>
          <cell r="K48" t="str">
            <v/>
          </cell>
        </row>
        <row r="49">
          <cell r="B49" t="str">
            <v>delinquency_48</v>
          </cell>
          <cell r="C49" t="str">
            <v/>
          </cell>
          <cell r="D49" t="str">
            <v/>
          </cell>
          <cell r="E49" t="str">
            <v/>
          </cell>
          <cell r="F49" t="str">
            <v/>
          </cell>
          <cell r="G49" t="str">
            <v/>
          </cell>
          <cell r="H49" t="str">
            <v/>
          </cell>
          <cell r="I49" t="str">
            <v/>
          </cell>
          <cell r="J49" t="str">
            <v/>
          </cell>
          <cell r="K49" t="str">
            <v/>
          </cell>
        </row>
        <row r="50">
          <cell r="B50" t="str">
            <v>delinquency_49</v>
          </cell>
          <cell r="C50" t="str">
            <v/>
          </cell>
          <cell r="D50" t="str">
            <v/>
          </cell>
          <cell r="E50" t="str">
            <v/>
          </cell>
          <cell r="F50" t="str">
            <v/>
          </cell>
          <cell r="G50" t="str">
            <v/>
          </cell>
          <cell r="H50" t="str">
            <v/>
          </cell>
          <cell r="I50" t="str">
            <v/>
          </cell>
          <cell r="J50" t="str">
            <v/>
          </cell>
          <cell r="K50" t="str">
            <v/>
          </cell>
        </row>
        <row r="51">
          <cell r="B51" t="str">
            <v>delinquency_50</v>
          </cell>
          <cell r="C51" t="str">
            <v/>
          </cell>
          <cell r="D51" t="str">
            <v/>
          </cell>
          <cell r="E51" t="str">
            <v/>
          </cell>
          <cell r="F51" t="str">
            <v/>
          </cell>
          <cell r="G51" t="str">
            <v/>
          </cell>
          <cell r="H51" t="str">
            <v/>
          </cell>
          <cell r="I51" t="str">
            <v/>
          </cell>
          <cell r="J51" t="str">
            <v/>
          </cell>
          <cell r="K51" t="str">
            <v/>
          </cell>
        </row>
        <row r="52">
          <cell r="B52" t="str">
            <v>delinquency_51</v>
          </cell>
          <cell r="C52" t="str">
            <v/>
          </cell>
          <cell r="D52" t="str">
            <v/>
          </cell>
          <cell r="E52" t="str">
            <v/>
          </cell>
          <cell r="F52" t="str">
            <v/>
          </cell>
          <cell r="G52" t="str">
            <v/>
          </cell>
          <cell r="H52" t="str">
            <v/>
          </cell>
          <cell r="I52" t="str">
            <v/>
          </cell>
          <cell r="J52" t="str">
            <v/>
          </cell>
          <cell r="K52" t="str">
            <v/>
          </cell>
        </row>
        <row r="53">
          <cell r="B53" t="str">
            <v>delinquency_52</v>
          </cell>
          <cell r="C53" t="str">
            <v/>
          </cell>
          <cell r="D53" t="str">
            <v/>
          </cell>
          <cell r="E53" t="str">
            <v/>
          </cell>
          <cell r="F53" t="str">
            <v/>
          </cell>
          <cell r="G53" t="str">
            <v/>
          </cell>
          <cell r="H53" t="str">
            <v/>
          </cell>
          <cell r="I53" t="str">
            <v/>
          </cell>
          <cell r="J53" t="str">
            <v/>
          </cell>
          <cell r="K53" t="str">
            <v/>
          </cell>
        </row>
        <row r="54">
          <cell r="B54" t="str">
            <v>delinquency_53</v>
          </cell>
          <cell r="C54" t="str">
            <v/>
          </cell>
          <cell r="D54" t="str">
            <v/>
          </cell>
          <cell r="E54" t="str">
            <v/>
          </cell>
          <cell r="F54" t="str">
            <v/>
          </cell>
          <cell r="G54" t="str">
            <v/>
          </cell>
          <cell r="H54" t="str">
            <v/>
          </cell>
          <cell r="I54" t="str">
            <v/>
          </cell>
          <cell r="J54" t="str">
            <v/>
          </cell>
          <cell r="K54" t="str">
            <v/>
          </cell>
        </row>
        <row r="55">
          <cell r="B55" t="str">
            <v>delinquency_54</v>
          </cell>
          <cell r="C55" t="str">
            <v/>
          </cell>
          <cell r="D55" t="str">
            <v/>
          </cell>
          <cell r="E55" t="str">
            <v/>
          </cell>
          <cell r="F55" t="str">
            <v/>
          </cell>
          <cell r="G55" t="str">
            <v/>
          </cell>
          <cell r="H55" t="str">
            <v/>
          </cell>
          <cell r="I55" t="str">
            <v/>
          </cell>
          <cell r="J55" t="str">
            <v/>
          </cell>
          <cell r="K55" t="str">
            <v/>
          </cell>
        </row>
        <row r="56">
          <cell r="B56" t="str">
            <v>delinquency_55</v>
          </cell>
          <cell r="C56" t="str">
            <v/>
          </cell>
          <cell r="D56" t="str">
            <v/>
          </cell>
          <cell r="E56" t="str">
            <v/>
          </cell>
          <cell r="F56" t="str">
            <v/>
          </cell>
          <cell r="G56" t="str">
            <v/>
          </cell>
          <cell r="H56" t="str">
            <v/>
          </cell>
          <cell r="I56" t="str">
            <v/>
          </cell>
          <cell r="J56" t="str">
            <v/>
          </cell>
          <cell r="K56" t="str">
            <v/>
          </cell>
        </row>
        <row r="57">
          <cell r="B57" t="str">
            <v>delinquency_56</v>
          </cell>
          <cell r="C57" t="str">
            <v/>
          </cell>
          <cell r="D57" t="str">
            <v/>
          </cell>
          <cell r="E57" t="str">
            <v/>
          </cell>
          <cell r="F57" t="str">
            <v/>
          </cell>
          <cell r="G57" t="str">
            <v/>
          </cell>
          <cell r="H57" t="str">
            <v/>
          </cell>
          <cell r="I57" t="str">
            <v/>
          </cell>
          <cell r="J57" t="str">
            <v/>
          </cell>
          <cell r="K57" t="str">
            <v/>
          </cell>
        </row>
        <row r="58">
          <cell r="B58" t="str">
            <v>delinquency_57</v>
          </cell>
          <cell r="C58" t="str">
            <v/>
          </cell>
          <cell r="D58" t="str">
            <v/>
          </cell>
          <cell r="E58" t="str">
            <v/>
          </cell>
          <cell r="F58" t="str">
            <v/>
          </cell>
          <cell r="G58" t="str">
            <v/>
          </cell>
          <cell r="H58" t="str">
            <v/>
          </cell>
          <cell r="I58" t="str">
            <v/>
          </cell>
          <cell r="J58" t="str">
            <v/>
          </cell>
          <cell r="K58" t="str">
            <v/>
          </cell>
        </row>
        <row r="59">
          <cell r="B59" t="str">
            <v>delinquency_58</v>
          </cell>
          <cell r="C59" t="str">
            <v/>
          </cell>
          <cell r="D59" t="str">
            <v/>
          </cell>
          <cell r="E59" t="str">
            <v/>
          </cell>
          <cell r="F59" t="str">
            <v/>
          </cell>
          <cell r="G59" t="str">
            <v/>
          </cell>
          <cell r="H59" t="str">
            <v/>
          </cell>
          <cell r="I59" t="str">
            <v/>
          </cell>
          <cell r="J59" t="str">
            <v/>
          </cell>
          <cell r="K59" t="str">
            <v/>
          </cell>
        </row>
        <row r="60">
          <cell r="B60" t="str">
            <v>delinquency_59</v>
          </cell>
          <cell r="C60" t="str">
            <v/>
          </cell>
          <cell r="D60" t="str">
            <v/>
          </cell>
          <cell r="E60" t="str">
            <v/>
          </cell>
          <cell r="F60" t="str">
            <v/>
          </cell>
          <cell r="G60" t="str">
            <v/>
          </cell>
          <cell r="H60" t="str">
            <v/>
          </cell>
          <cell r="I60" t="str">
            <v/>
          </cell>
          <cell r="J60" t="str">
            <v/>
          </cell>
          <cell r="K60" t="str">
            <v/>
          </cell>
        </row>
        <row r="61">
          <cell r="B61" t="str">
            <v>delinquency_60</v>
          </cell>
          <cell r="C61" t="str">
            <v/>
          </cell>
          <cell r="D61" t="str">
            <v/>
          </cell>
          <cell r="E61" t="str">
            <v/>
          </cell>
          <cell r="F61" t="str">
            <v/>
          </cell>
          <cell r="G61" t="str">
            <v/>
          </cell>
          <cell r="H61" t="str">
            <v/>
          </cell>
          <cell r="I61" t="str">
            <v/>
          </cell>
          <cell r="J61" t="str">
            <v/>
          </cell>
          <cell r="K61" t="str">
            <v/>
          </cell>
        </row>
        <row r="62">
          <cell r="B62" t="str">
            <v>delinquency_61</v>
          </cell>
          <cell r="C62" t="str">
            <v/>
          </cell>
          <cell r="D62" t="str">
            <v/>
          </cell>
          <cell r="E62" t="str">
            <v/>
          </cell>
          <cell r="F62" t="str">
            <v/>
          </cell>
          <cell r="G62" t="str">
            <v/>
          </cell>
          <cell r="H62" t="str">
            <v/>
          </cell>
          <cell r="I62" t="str">
            <v/>
          </cell>
          <cell r="J62" t="str">
            <v/>
          </cell>
          <cell r="K62" t="str">
            <v/>
          </cell>
        </row>
        <row r="63">
          <cell r="B63" t="str">
            <v>delinquency_62</v>
          </cell>
          <cell r="C63" t="str">
            <v/>
          </cell>
          <cell r="D63" t="str">
            <v/>
          </cell>
          <cell r="E63" t="str">
            <v/>
          </cell>
          <cell r="F63" t="str">
            <v/>
          </cell>
          <cell r="G63" t="str">
            <v/>
          </cell>
          <cell r="H63" t="str">
            <v/>
          </cell>
          <cell r="I63" t="str">
            <v/>
          </cell>
          <cell r="J63" t="str">
            <v/>
          </cell>
          <cell r="K63" t="str">
            <v/>
          </cell>
        </row>
        <row r="64">
          <cell r="B64" t="str">
            <v>delinquency_63</v>
          </cell>
          <cell r="C64" t="str">
            <v/>
          </cell>
          <cell r="D64" t="str">
            <v/>
          </cell>
          <cell r="E64" t="str">
            <v/>
          </cell>
          <cell r="F64" t="str">
            <v/>
          </cell>
          <cell r="G64" t="str">
            <v/>
          </cell>
          <cell r="H64" t="str">
            <v/>
          </cell>
          <cell r="I64" t="str">
            <v/>
          </cell>
          <cell r="J64" t="str">
            <v/>
          </cell>
          <cell r="K64" t="str">
            <v/>
          </cell>
        </row>
        <row r="65">
          <cell r="B65" t="str">
            <v>delinquency_64</v>
          </cell>
          <cell r="C65" t="str">
            <v/>
          </cell>
          <cell r="D65" t="str">
            <v/>
          </cell>
          <cell r="E65" t="str">
            <v/>
          </cell>
          <cell r="F65" t="str">
            <v/>
          </cell>
          <cell r="G65" t="str">
            <v/>
          </cell>
          <cell r="H65" t="str">
            <v/>
          </cell>
          <cell r="I65" t="str">
            <v/>
          </cell>
          <cell r="J65" t="str">
            <v/>
          </cell>
          <cell r="K65" t="str">
            <v/>
          </cell>
        </row>
        <row r="66">
          <cell r="B66" t="str">
            <v>delinquency_65</v>
          </cell>
          <cell r="C66" t="str">
            <v/>
          </cell>
          <cell r="D66" t="str">
            <v/>
          </cell>
          <cell r="E66" t="str">
            <v/>
          </cell>
          <cell r="F66" t="str">
            <v/>
          </cell>
          <cell r="G66" t="str">
            <v/>
          </cell>
          <cell r="H66" t="str">
            <v/>
          </cell>
          <cell r="I66" t="str">
            <v/>
          </cell>
          <cell r="J66" t="str">
            <v/>
          </cell>
          <cell r="K66" t="str">
            <v/>
          </cell>
        </row>
        <row r="67">
          <cell r="B67" t="str">
            <v>delinquency_66</v>
          </cell>
          <cell r="C67" t="str">
            <v/>
          </cell>
          <cell r="D67" t="str">
            <v/>
          </cell>
          <cell r="E67" t="str">
            <v/>
          </cell>
          <cell r="F67" t="str">
            <v/>
          </cell>
          <cell r="G67" t="str">
            <v/>
          </cell>
          <cell r="H67" t="str">
            <v/>
          </cell>
          <cell r="I67" t="str">
            <v/>
          </cell>
          <cell r="J67" t="str">
            <v/>
          </cell>
          <cell r="K67" t="str">
            <v/>
          </cell>
        </row>
        <row r="68">
          <cell r="B68" t="str">
            <v>delinquency_67</v>
          </cell>
          <cell r="C68" t="str">
            <v/>
          </cell>
          <cell r="D68" t="str">
            <v/>
          </cell>
          <cell r="E68" t="str">
            <v/>
          </cell>
          <cell r="F68" t="str">
            <v/>
          </cell>
          <cell r="G68" t="str">
            <v/>
          </cell>
          <cell r="H68" t="str">
            <v/>
          </cell>
          <cell r="I68" t="str">
            <v/>
          </cell>
          <cell r="J68" t="str">
            <v/>
          </cell>
          <cell r="K68" t="str">
            <v/>
          </cell>
        </row>
        <row r="69">
          <cell r="B69" t="str">
            <v>delinquency_68</v>
          </cell>
          <cell r="C69" t="str">
            <v/>
          </cell>
          <cell r="D69" t="str">
            <v/>
          </cell>
          <cell r="E69" t="str">
            <v/>
          </cell>
          <cell r="F69" t="str">
            <v/>
          </cell>
          <cell r="G69" t="str">
            <v/>
          </cell>
          <cell r="H69" t="str">
            <v/>
          </cell>
          <cell r="I69" t="str">
            <v/>
          </cell>
          <cell r="J69" t="str">
            <v/>
          </cell>
          <cell r="K69" t="str">
            <v/>
          </cell>
        </row>
        <row r="70">
          <cell r="B70" t="str">
            <v>delinquency_69</v>
          </cell>
          <cell r="C70" t="str">
            <v/>
          </cell>
          <cell r="D70" t="str">
            <v/>
          </cell>
          <cell r="E70" t="str">
            <v/>
          </cell>
          <cell r="F70" t="str">
            <v/>
          </cell>
          <cell r="G70" t="str">
            <v/>
          </cell>
          <cell r="H70" t="str">
            <v/>
          </cell>
          <cell r="I70" t="str">
            <v/>
          </cell>
          <cell r="J70" t="str">
            <v/>
          </cell>
          <cell r="K70" t="str">
            <v/>
          </cell>
        </row>
        <row r="71">
          <cell r="B71" t="str">
            <v>delinquency_70</v>
          </cell>
          <cell r="C71" t="str">
            <v/>
          </cell>
          <cell r="D71" t="str">
            <v/>
          </cell>
          <cell r="E71" t="str">
            <v/>
          </cell>
          <cell r="F71" t="str">
            <v/>
          </cell>
          <cell r="G71" t="str">
            <v/>
          </cell>
          <cell r="H71" t="str">
            <v/>
          </cell>
          <cell r="I71" t="str">
            <v/>
          </cell>
          <cell r="J71" t="str">
            <v/>
          </cell>
          <cell r="K71" t="str">
            <v/>
          </cell>
        </row>
        <row r="72">
          <cell r="B72" t="str">
            <v>delinquency_71</v>
          </cell>
          <cell r="C72" t="str">
            <v/>
          </cell>
          <cell r="D72" t="str">
            <v/>
          </cell>
          <cell r="E72" t="str">
            <v/>
          </cell>
          <cell r="F72" t="str">
            <v/>
          </cell>
          <cell r="G72" t="str">
            <v/>
          </cell>
          <cell r="H72" t="str">
            <v/>
          </cell>
          <cell r="I72" t="str">
            <v/>
          </cell>
          <cell r="J72" t="str">
            <v/>
          </cell>
          <cell r="K72" t="str">
            <v/>
          </cell>
        </row>
        <row r="73">
          <cell r="B73" t="str">
            <v>delinquency_72</v>
          </cell>
          <cell r="C73" t="str">
            <v/>
          </cell>
          <cell r="D73" t="str">
            <v/>
          </cell>
          <cell r="E73" t="str">
            <v/>
          </cell>
          <cell r="F73" t="str">
            <v/>
          </cell>
          <cell r="G73" t="str">
            <v/>
          </cell>
          <cell r="H73" t="str">
            <v/>
          </cell>
          <cell r="I73" t="str">
            <v/>
          </cell>
          <cell r="J73" t="str">
            <v/>
          </cell>
          <cell r="K73" t="str">
            <v/>
          </cell>
        </row>
        <row r="74">
          <cell r="B74" t="str">
            <v>delinquency_73</v>
          </cell>
          <cell r="C74" t="str">
            <v/>
          </cell>
          <cell r="D74" t="str">
            <v/>
          </cell>
          <cell r="E74" t="str">
            <v/>
          </cell>
          <cell r="F74" t="str">
            <v/>
          </cell>
          <cell r="G74" t="str">
            <v/>
          </cell>
          <cell r="H74" t="str">
            <v/>
          </cell>
          <cell r="I74" t="str">
            <v/>
          </cell>
          <cell r="J74" t="str">
            <v/>
          </cell>
          <cell r="K74" t="str">
            <v/>
          </cell>
        </row>
        <row r="75">
          <cell r="B75" t="str">
            <v>delinquency_74</v>
          </cell>
          <cell r="C75" t="str">
            <v/>
          </cell>
          <cell r="D75" t="str">
            <v/>
          </cell>
          <cell r="E75" t="str">
            <v/>
          </cell>
          <cell r="F75" t="str">
            <v/>
          </cell>
          <cell r="G75" t="str">
            <v/>
          </cell>
          <cell r="H75" t="str">
            <v/>
          </cell>
          <cell r="I75" t="str">
            <v/>
          </cell>
          <cell r="J75" t="str">
            <v/>
          </cell>
          <cell r="K75" t="str">
            <v/>
          </cell>
        </row>
        <row r="76">
          <cell r="B76" t="str">
            <v>delinquency_75</v>
          </cell>
          <cell r="C76" t="str">
            <v/>
          </cell>
          <cell r="D76" t="str">
            <v/>
          </cell>
          <cell r="E76" t="str">
            <v/>
          </cell>
          <cell r="F76" t="str">
            <v/>
          </cell>
          <cell r="G76" t="str">
            <v/>
          </cell>
          <cell r="H76" t="str">
            <v/>
          </cell>
          <cell r="I76" t="str">
            <v/>
          </cell>
          <cell r="J76" t="str">
            <v/>
          </cell>
          <cell r="K76" t="str">
            <v/>
          </cell>
        </row>
        <row r="77">
          <cell r="B77" t="str">
            <v>delinquency_76</v>
          </cell>
          <cell r="C77" t="str">
            <v/>
          </cell>
          <cell r="D77" t="str">
            <v/>
          </cell>
          <cell r="E77" t="str">
            <v/>
          </cell>
          <cell r="F77" t="str">
            <v/>
          </cell>
          <cell r="G77" t="str">
            <v/>
          </cell>
          <cell r="H77" t="str">
            <v/>
          </cell>
          <cell r="I77" t="str">
            <v/>
          </cell>
          <cell r="J77" t="str">
            <v/>
          </cell>
          <cell r="K77" t="str">
            <v/>
          </cell>
        </row>
        <row r="78">
          <cell r="B78" t="str">
            <v>delinquency_77</v>
          </cell>
          <cell r="C78" t="str">
            <v/>
          </cell>
          <cell r="D78" t="str">
            <v/>
          </cell>
          <cell r="E78" t="str">
            <v/>
          </cell>
          <cell r="F78" t="str">
            <v/>
          </cell>
          <cell r="G78" t="str">
            <v/>
          </cell>
          <cell r="H78" t="str">
            <v/>
          </cell>
          <cell r="I78" t="str">
            <v/>
          </cell>
          <cell r="J78" t="str">
            <v/>
          </cell>
          <cell r="K78" t="str">
            <v/>
          </cell>
        </row>
        <row r="79">
          <cell r="B79" t="str">
            <v>delinquency_78</v>
          </cell>
          <cell r="C79" t="str">
            <v/>
          </cell>
          <cell r="D79" t="str">
            <v/>
          </cell>
          <cell r="E79" t="str">
            <v/>
          </cell>
          <cell r="F79" t="str">
            <v/>
          </cell>
          <cell r="G79" t="str">
            <v/>
          </cell>
          <cell r="H79" t="str">
            <v/>
          </cell>
          <cell r="I79" t="str">
            <v/>
          </cell>
          <cell r="J79" t="str">
            <v/>
          </cell>
          <cell r="K79" t="str">
            <v/>
          </cell>
        </row>
        <row r="80">
          <cell r="B80" t="str">
            <v>delinquency_79</v>
          </cell>
          <cell r="C80" t="str">
            <v/>
          </cell>
          <cell r="D80" t="str">
            <v/>
          </cell>
          <cell r="E80" t="str">
            <v/>
          </cell>
          <cell r="F80" t="str">
            <v/>
          </cell>
          <cell r="G80" t="str">
            <v/>
          </cell>
          <cell r="H80" t="str">
            <v/>
          </cell>
          <cell r="I80" t="str">
            <v/>
          </cell>
          <cell r="J80" t="str">
            <v/>
          </cell>
          <cell r="K80" t="str">
            <v/>
          </cell>
        </row>
        <row r="81">
          <cell r="B81" t="str">
            <v>delinquency_80</v>
          </cell>
          <cell r="C81" t="str">
            <v/>
          </cell>
          <cell r="D81" t="str">
            <v/>
          </cell>
          <cell r="E81" t="str">
            <v/>
          </cell>
          <cell r="F81" t="str">
            <v/>
          </cell>
          <cell r="G81" t="str">
            <v/>
          </cell>
          <cell r="H81" t="str">
            <v/>
          </cell>
          <cell r="I81" t="str">
            <v/>
          </cell>
          <cell r="J81" t="str">
            <v/>
          </cell>
          <cell r="K81" t="str">
            <v/>
          </cell>
        </row>
      </sheetData>
      <sheetData sheetId="41">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defaults_1</v>
          </cell>
          <cell r="C2" t="str">
            <v>0,00</v>
          </cell>
          <cell r="D2" t="str">
            <v>0,00</v>
          </cell>
          <cell r="E2" t="str">
            <v>0,00</v>
          </cell>
          <cell r="F2" t="str">
            <v>821623315,54</v>
          </cell>
          <cell r="G2" t="str">
            <v>0,00</v>
          </cell>
          <cell r="H2" t="str">
            <v>0,00</v>
          </cell>
          <cell r="I2" t="str">
            <v>0,00</v>
          </cell>
          <cell r="J2" t="str">
            <v>0,00</v>
          </cell>
          <cell r="K2" t="str">
            <v>0,00</v>
          </cell>
        </row>
        <row r="3">
          <cell r="B3" t="str">
            <v>defaults_2</v>
          </cell>
          <cell r="C3" t="str">
            <v>0,00</v>
          </cell>
          <cell r="D3" t="str">
            <v>0,00</v>
          </cell>
          <cell r="E3" t="str">
            <v>0,00</v>
          </cell>
          <cell r="F3" t="str">
            <v>843633882,17</v>
          </cell>
          <cell r="G3" t="str">
            <v>0,00</v>
          </cell>
          <cell r="H3" t="str">
            <v>0,00</v>
          </cell>
          <cell r="I3" t="str">
            <v>0,00</v>
          </cell>
          <cell r="J3" t="str">
            <v>0,00</v>
          </cell>
          <cell r="K3" t="str">
            <v>0,00</v>
          </cell>
        </row>
        <row r="4">
          <cell r="B4" t="str">
            <v>defaults_3</v>
          </cell>
          <cell r="C4" t="str">
            <v/>
          </cell>
          <cell r="D4" t="str">
            <v/>
          </cell>
          <cell r="E4" t="str">
            <v/>
          </cell>
          <cell r="F4" t="str">
            <v/>
          </cell>
          <cell r="G4" t="str">
            <v/>
          </cell>
          <cell r="H4" t="str">
            <v/>
          </cell>
          <cell r="I4" t="str">
            <v/>
          </cell>
          <cell r="J4" t="str">
            <v/>
          </cell>
          <cell r="K4" t="str">
            <v/>
          </cell>
        </row>
        <row r="5">
          <cell r="B5" t="str">
            <v>defaults_4</v>
          </cell>
          <cell r="C5" t="str">
            <v/>
          </cell>
          <cell r="D5" t="str">
            <v/>
          </cell>
          <cell r="E5" t="str">
            <v/>
          </cell>
          <cell r="F5" t="str">
            <v/>
          </cell>
          <cell r="G5" t="str">
            <v/>
          </cell>
          <cell r="H5" t="str">
            <v/>
          </cell>
          <cell r="I5" t="str">
            <v/>
          </cell>
          <cell r="J5" t="str">
            <v/>
          </cell>
          <cell r="K5" t="str">
            <v/>
          </cell>
        </row>
        <row r="6">
          <cell r="B6" t="str">
            <v>defaults_5</v>
          </cell>
          <cell r="C6" t="str">
            <v/>
          </cell>
          <cell r="D6" t="str">
            <v/>
          </cell>
          <cell r="E6" t="str">
            <v/>
          </cell>
          <cell r="F6" t="str">
            <v/>
          </cell>
          <cell r="G6" t="str">
            <v/>
          </cell>
          <cell r="H6" t="str">
            <v/>
          </cell>
          <cell r="I6" t="str">
            <v/>
          </cell>
          <cell r="J6" t="str">
            <v/>
          </cell>
          <cell r="K6" t="str">
            <v/>
          </cell>
        </row>
        <row r="7">
          <cell r="B7" t="str">
            <v>defaults_6</v>
          </cell>
          <cell r="C7" t="str">
            <v/>
          </cell>
          <cell r="D7" t="str">
            <v/>
          </cell>
          <cell r="E7" t="str">
            <v/>
          </cell>
          <cell r="F7" t="str">
            <v/>
          </cell>
          <cell r="G7" t="str">
            <v/>
          </cell>
          <cell r="H7" t="str">
            <v/>
          </cell>
          <cell r="I7" t="str">
            <v/>
          </cell>
          <cell r="J7" t="str">
            <v/>
          </cell>
          <cell r="K7" t="str">
            <v/>
          </cell>
        </row>
        <row r="8">
          <cell r="B8" t="str">
            <v>defaults_7</v>
          </cell>
          <cell r="C8" t="str">
            <v/>
          </cell>
          <cell r="D8" t="str">
            <v/>
          </cell>
          <cell r="E8" t="str">
            <v/>
          </cell>
          <cell r="F8" t="str">
            <v/>
          </cell>
          <cell r="G8" t="str">
            <v/>
          </cell>
          <cell r="H8" t="str">
            <v/>
          </cell>
          <cell r="I8" t="str">
            <v/>
          </cell>
          <cell r="J8" t="str">
            <v/>
          </cell>
          <cell r="K8" t="str">
            <v/>
          </cell>
        </row>
        <row r="9">
          <cell r="B9" t="str">
            <v>defaults_8</v>
          </cell>
          <cell r="C9" t="str">
            <v/>
          </cell>
          <cell r="D9" t="str">
            <v/>
          </cell>
          <cell r="E9" t="str">
            <v/>
          </cell>
          <cell r="F9" t="str">
            <v/>
          </cell>
          <cell r="G9" t="str">
            <v/>
          </cell>
          <cell r="H9" t="str">
            <v/>
          </cell>
          <cell r="I9" t="str">
            <v/>
          </cell>
          <cell r="J9" t="str">
            <v/>
          </cell>
          <cell r="K9" t="str">
            <v/>
          </cell>
        </row>
        <row r="10">
          <cell r="B10" t="str">
            <v>defaults_9</v>
          </cell>
          <cell r="C10" t="str">
            <v/>
          </cell>
          <cell r="D10" t="str">
            <v/>
          </cell>
          <cell r="E10" t="str">
            <v/>
          </cell>
          <cell r="F10" t="str">
            <v/>
          </cell>
          <cell r="G10" t="str">
            <v/>
          </cell>
          <cell r="H10" t="str">
            <v/>
          </cell>
          <cell r="I10" t="str">
            <v/>
          </cell>
          <cell r="J10" t="str">
            <v/>
          </cell>
          <cell r="K10" t="str">
            <v/>
          </cell>
        </row>
        <row r="11">
          <cell r="B11" t="str">
            <v>defaults_10</v>
          </cell>
          <cell r="C11" t="str">
            <v/>
          </cell>
          <cell r="D11" t="str">
            <v/>
          </cell>
          <cell r="E11" t="str">
            <v/>
          </cell>
          <cell r="F11" t="str">
            <v/>
          </cell>
          <cell r="G11" t="str">
            <v/>
          </cell>
          <cell r="H11" t="str">
            <v/>
          </cell>
          <cell r="I11" t="str">
            <v/>
          </cell>
          <cell r="J11" t="str">
            <v/>
          </cell>
          <cell r="K11" t="str">
            <v/>
          </cell>
        </row>
        <row r="12">
          <cell r="B12" t="str">
            <v>defaults_11</v>
          </cell>
          <cell r="C12" t="str">
            <v/>
          </cell>
          <cell r="D12" t="str">
            <v/>
          </cell>
          <cell r="E12" t="str">
            <v/>
          </cell>
          <cell r="F12" t="str">
            <v/>
          </cell>
          <cell r="G12" t="str">
            <v/>
          </cell>
          <cell r="H12" t="str">
            <v/>
          </cell>
          <cell r="I12" t="str">
            <v/>
          </cell>
          <cell r="J12" t="str">
            <v/>
          </cell>
          <cell r="K12" t="str">
            <v/>
          </cell>
        </row>
        <row r="13">
          <cell r="B13" t="str">
            <v>defaults_12</v>
          </cell>
          <cell r="C13" t="str">
            <v/>
          </cell>
          <cell r="D13" t="str">
            <v/>
          </cell>
          <cell r="E13" t="str">
            <v/>
          </cell>
          <cell r="F13" t="str">
            <v/>
          </cell>
          <cell r="G13" t="str">
            <v/>
          </cell>
          <cell r="H13" t="str">
            <v/>
          </cell>
          <cell r="I13" t="str">
            <v/>
          </cell>
          <cell r="J13" t="str">
            <v/>
          </cell>
          <cell r="K13" t="str">
            <v/>
          </cell>
        </row>
        <row r="14">
          <cell r="B14" t="str">
            <v>defaults_13</v>
          </cell>
          <cell r="C14" t="str">
            <v/>
          </cell>
          <cell r="D14" t="str">
            <v/>
          </cell>
          <cell r="E14" t="str">
            <v/>
          </cell>
          <cell r="F14" t="str">
            <v/>
          </cell>
          <cell r="G14" t="str">
            <v/>
          </cell>
          <cell r="H14" t="str">
            <v/>
          </cell>
          <cell r="I14" t="str">
            <v/>
          </cell>
          <cell r="J14" t="str">
            <v/>
          </cell>
          <cell r="K14" t="str">
            <v/>
          </cell>
        </row>
        <row r="15">
          <cell r="B15" t="str">
            <v>defaults_14</v>
          </cell>
          <cell r="C15" t="str">
            <v/>
          </cell>
          <cell r="D15" t="str">
            <v/>
          </cell>
          <cell r="E15" t="str">
            <v/>
          </cell>
          <cell r="F15" t="str">
            <v/>
          </cell>
          <cell r="G15" t="str">
            <v/>
          </cell>
          <cell r="H15" t="str">
            <v/>
          </cell>
          <cell r="I15" t="str">
            <v/>
          </cell>
          <cell r="J15" t="str">
            <v/>
          </cell>
          <cell r="K15" t="str">
            <v/>
          </cell>
        </row>
        <row r="16">
          <cell r="B16" t="str">
            <v>defaults_15</v>
          </cell>
          <cell r="C16" t="str">
            <v/>
          </cell>
          <cell r="D16" t="str">
            <v/>
          </cell>
          <cell r="E16" t="str">
            <v/>
          </cell>
          <cell r="F16" t="str">
            <v/>
          </cell>
          <cell r="G16" t="str">
            <v/>
          </cell>
          <cell r="H16" t="str">
            <v/>
          </cell>
          <cell r="I16" t="str">
            <v/>
          </cell>
          <cell r="J16" t="str">
            <v/>
          </cell>
          <cell r="K16" t="str">
            <v/>
          </cell>
        </row>
        <row r="17">
          <cell r="B17" t="str">
            <v>defaults_16</v>
          </cell>
          <cell r="C17" t="str">
            <v/>
          </cell>
          <cell r="D17" t="str">
            <v/>
          </cell>
          <cell r="E17" t="str">
            <v/>
          </cell>
          <cell r="F17" t="str">
            <v/>
          </cell>
          <cell r="G17" t="str">
            <v/>
          </cell>
          <cell r="H17" t="str">
            <v/>
          </cell>
          <cell r="I17" t="str">
            <v/>
          </cell>
          <cell r="J17" t="str">
            <v/>
          </cell>
          <cell r="K17" t="str">
            <v/>
          </cell>
        </row>
        <row r="18">
          <cell r="B18" t="str">
            <v>defaults_17</v>
          </cell>
          <cell r="C18" t="str">
            <v/>
          </cell>
          <cell r="D18" t="str">
            <v/>
          </cell>
          <cell r="E18" t="str">
            <v/>
          </cell>
          <cell r="F18" t="str">
            <v/>
          </cell>
          <cell r="G18" t="str">
            <v/>
          </cell>
          <cell r="H18" t="str">
            <v/>
          </cell>
          <cell r="I18" t="str">
            <v/>
          </cell>
          <cell r="J18" t="str">
            <v/>
          </cell>
          <cell r="K18" t="str">
            <v/>
          </cell>
        </row>
        <row r="19">
          <cell r="B19" t="str">
            <v>defaults_18</v>
          </cell>
          <cell r="C19" t="str">
            <v/>
          </cell>
          <cell r="D19" t="str">
            <v/>
          </cell>
          <cell r="E19" t="str">
            <v/>
          </cell>
          <cell r="F19" t="str">
            <v/>
          </cell>
          <cell r="G19" t="str">
            <v/>
          </cell>
          <cell r="H19" t="str">
            <v/>
          </cell>
          <cell r="I19" t="str">
            <v/>
          </cell>
          <cell r="J19" t="str">
            <v/>
          </cell>
          <cell r="K19" t="str">
            <v/>
          </cell>
        </row>
        <row r="20">
          <cell r="B20" t="str">
            <v>defaults_19</v>
          </cell>
          <cell r="C20" t="str">
            <v/>
          </cell>
          <cell r="D20" t="str">
            <v/>
          </cell>
          <cell r="E20" t="str">
            <v/>
          </cell>
          <cell r="F20" t="str">
            <v/>
          </cell>
          <cell r="G20" t="str">
            <v/>
          </cell>
          <cell r="H20" t="str">
            <v/>
          </cell>
          <cell r="I20" t="str">
            <v/>
          </cell>
          <cell r="J20" t="str">
            <v/>
          </cell>
          <cell r="K20" t="str">
            <v/>
          </cell>
        </row>
        <row r="21">
          <cell r="B21" t="str">
            <v>defaults_20</v>
          </cell>
          <cell r="C21" t="str">
            <v/>
          </cell>
          <cell r="D21" t="str">
            <v/>
          </cell>
          <cell r="E21" t="str">
            <v/>
          </cell>
          <cell r="F21" t="str">
            <v/>
          </cell>
          <cell r="G21" t="str">
            <v/>
          </cell>
          <cell r="H21" t="str">
            <v/>
          </cell>
          <cell r="I21" t="str">
            <v/>
          </cell>
          <cell r="J21" t="str">
            <v/>
          </cell>
          <cell r="K21" t="str">
            <v/>
          </cell>
        </row>
        <row r="22">
          <cell r="B22" t="str">
            <v>defaults_21</v>
          </cell>
          <cell r="C22" t="str">
            <v/>
          </cell>
          <cell r="D22" t="str">
            <v/>
          </cell>
          <cell r="E22" t="str">
            <v/>
          </cell>
          <cell r="F22" t="str">
            <v/>
          </cell>
          <cell r="G22" t="str">
            <v/>
          </cell>
          <cell r="H22" t="str">
            <v/>
          </cell>
          <cell r="I22" t="str">
            <v/>
          </cell>
          <cell r="J22" t="str">
            <v/>
          </cell>
          <cell r="K22" t="str">
            <v/>
          </cell>
        </row>
        <row r="23">
          <cell r="B23" t="str">
            <v>defaults_22</v>
          </cell>
          <cell r="C23" t="str">
            <v/>
          </cell>
          <cell r="D23" t="str">
            <v/>
          </cell>
          <cell r="E23" t="str">
            <v/>
          </cell>
          <cell r="F23" t="str">
            <v/>
          </cell>
          <cell r="G23" t="str">
            <v/>
          </cell>
          <cell r="H23" t="str">
            <v/>
          </cell>
          <cell r="I23" t="str">
            <v/>
          </cell>
          <cell r="J23" t="str">
            <v/>
          </cell>
          <cell r="K23" t="str">
            <v/>
          </cell>
        </row>
        <row r="24">
          <cell r="B24" t="str">
            <v>defaults_23</v>
          </cell>
          <cell r="C24" t="str">
            <v/>
          </cell>
          <cell r="D24" t="str">
            <v/>
          </cell>
          <cell r="E24" t="str">
            <v/>
          </cell>
          <cell r="F24" t="str">
            <v/>
          </cell>
          <cell r="G24" t="str">
            <v/>
          </cell>
          <cell r="H24" t="str">
            <v/>
          </cell>
          <cell r="I24" t="str">
            <v/>
          </cell>
          <cell r="J24" t="str">
            <v/>
          </cell>
          <cell r="K24" t="str">
            <v/>
          </cell>
        </row>
        <row r="25">
          <cell r="B25" t="str">
            <v>defaults_24</v>
          </cell>
          <cell r="C25" t="str">
            <v/>
          </cell>
          <cell r="D25" t="str">
            <v/>
          </cell>
          <cell r="E25" t="str">
            <v/>
          </cell>
          <cell r="F25" t="str">
            <v/>
          </cell>
          <cell r="G25" t="str">
            <v/>
          </cell>
          <cell r="H25" t="str">
            <v/>
          </cell>
          <cell r="I25" t="str">
            <v/>
          </cell>
          <cell r="J25" t="str">
            <v/>
          </cell>
          <cell r="K25" t="str">
            <v/>
          </cell>
        </row>
        <row r="26">
          <cell r="B26" t="str">
            <v>defaults_25</v>
          </cell>
          <cell r="C26" t="str">
            <v/>
          </cell>
          <cell r="D26" t="str">
            <v/>
          </cell>
          <cell r="E26" t="str">
            <v/>
          </cell>
          <cell r="F26" t="str">
            <v/>
          </cell>
          <cell r="G26" t="str">
            <v/>
          </cell>
          <cell r="H26" t="str">
            <v/>
          </cell>
          <cell r="I26" t="str">
            <v/>
          </cell>
          <cell r="J26" t="str">
            <v/>
          </cell>
          <cell r="K26" t="str">
            <v/>
          </cell>
        </row>
        <row r="27">
          <cell r="B27" t="str">
            <v>defaults_26</v>
          </cell>
          <cell r="C27" t="str">
            <v/>
          </cell>
          <cell r="D27" t="str">
            <v/>
          </cell>
          <cell r="E27" t="str">
            <v/>
          </cell>
          <cell r="F27" t="str">
            <v/>
          </cell>
          <cell r="G27" t="str">
            <v/>
          </cell>
          <cell r="H27" t="str">
            <v/>
          </cell>
          <cell r="I27" t="str">
            <v/>
          </cell>
          <cell r="J27" t="str">
            <v/>
          </cell>
          <cell r="K27" t="str">
            <v/>
          </cell>
        </row>
        <row r="28">
          <cell r="B28" t="str">
            <v>defaults_27</v>
          </cell>
          <cell r="C28" t="str">
            <v/>
          </cell>
          <cell r="D28" t="str">
            <v/>
          </cell>
          <cell r="E28" t="str">
            <v/>
          </cell>
          <cell r="F28" t="str">
            <v/>
          </cell>
          <cell r="G28" t="str">
            <v/>
          </cell>
          <cell r="H28" t="str">
            <v/>
          </cell>
          <cell r="I28" t="str">
            <v/>
          </cell>
          <cell r="J28" t="str">
            <v/>
          </cell>
          <cell r="K28" t="str">
            <v/>
          </cell>
        </row>
        <row r="29">
          <cell r="B29" t="str">
            <v>defaults_28</v>
          </cell>
          <cell r="C29" t="str">
            <v/>
          </cell>
          <cell r="D29" t="str">
            <v/>
          </cell>
          <cell r="E29" t="str">
            <v/>
          </cell>
          <cell r="F29" t="str">
            <v/>
          </cell>
          <cell r="G29" t="str">
            <v/>
          </cell>
          <cell r="H29" t="str">
            <v/>
          </cell>
          <cell r="I29" t="str">
            <v/>
          </cell>
          <cell r="J29" t="str">
            <v/>
          </cell>
          <cell r="K29" t="str">
            <v/>
          </cell>
        </row>
        <row r="30">
          <cell r="B30" t="str">
            <v>defaults_29</v>
          </cell>
          <cell r="C30" t="str">
            <v/>
          </cell>
          <cell r="D30" t="str">
            <v/>
          </cell>
          <cell r="E30" t="str">
            <v/>
          </cell>
          <cell r="F30" t="str">
            <v/>
          </cell>
          <cell r="G30" t="str">
            <v/>
          </cell>
          <cell r="H30" t="str">
            <v/>
          </cell>
          <cell r="I30" t="str">
            <v/>
          </cell>
          <cell r="J30" t="str">
            <v/>
          </cell>
          <cell r="K30" t="str">
            <v/>
          </cell>
        </row>
        <row r="31">
          <cell r="B31" t="str">
            <v>defaults_30</v>
          </cell>
          <cell r="C31" t="str">
            <v/>
          </cell>
          <cell r="D31" t="str">
            <v/>
          </cell>
          <cell r="E31" t="str">
            <v/>
          </cell>
          <cell r="F31" t="str">
            <v/>
          </cell>
          <cell r="G31" t="str">
            <v/>
          </cell>
          <cell r="H31" t="str">
            <v/>
          </cell>
          <cell r="I31" t="str">
            <v/>
          </cell>
          <cell r="J31" t="str">
            <v/>
          </cell>
          <cell r="K31" t="str">
            <v/>
          </cell>
        </row>
        <row r="32">
          <cell r="B32" t="str">
            <v>defaults_31</v>
          </cell>
          <cell r="C32" t="str">
            <v/>
          </cell>
          <cell r="D32" t="str">
            <v/>
          </cell>
          <cell r="E32" t="str">
            <v/>
          </cell>
          <cell r="F32" t="str">
            <v/>
          </cell>
          <cell r="G32" t="str">
            <v/>
          </cell>
          <cell r="H32" t="str">
            <v/>
          </cell>
          <cell r="I32" t="str">
            <v/>
          </cell>
          <cell r="J32" t="str">
            <v/>
          </cell>
          <cell r="K32" t="str">
            <v/>
          </cell>
        </row>
        <row r="33">
          <cell r="B33" t="str">
            <v>defaults_32</v>
          </cell>
          <cell r="C33" t="str">
            <v/>
          </cell>
          <cell r="D33" t="str">
            <v/>
          </cell>
          <cell r="E33" t="str">
            <v/>
          </cell>
          <cell r="F33" t="str">
            <v/>
          </cell>
          <cell r="G33" t="str">
            <v/>
          </cell>
          <cell r="H33" t="str">
            <v/>
          </cell>
          <cell r="I33" t="str">
            <v/>
          </cell>
          <cell r="J33" t="str">
            <v/>
          </cell>
          <cell r="K33" t="str">
            <v/>
          </cell>
        </row>
        <row r="34">
          <cell r="B34" t="str">
            <v>defaults_33</v>
          </cell>
          <cell r="C34" t="str">
            <v/>
          </cell>
          <cell r="D34" t="str">
            <v/>
          </cell>
          <cell r="E34" t="str">
            <v/>
          </cell>
          <cell r="F34" t="str">
            <v/>
          </cell>
          <cell r="G34" t="str">
            <v/>
          </cell>
          <cell r="H34" t="str">
            <v/>
          </cell>
          <cell r="I34" t="str">
            <v/>
          </cell>
          <cell r="J34" t="str">
            <v/>
          </cell>
          <cell r="K34" t="str">
            <v/>
          </cell>
        </row>
        <row r="35">
          <cell r="B35" t="str">
            <v>defaults_34</v>
          </cell>
          <cell r="C35" t="str">
            <v/>
          </cell>
          <cell r="D35" t="str">
            <v/>
          </cell>
          <cell r="E35" t="str">
            <v/>
          </cell>
          <cell r="F35" t="str">
            <v/>
          </cell>
          <cell r="G35" t="str">
            <v/>
          </cell>
          <cell r="H35" t="str">
            <v/>
          </cell>
          <cell r="I35" t="str">
            <v/>
          </cell>
          <cell r="J35" t="str">
            <v/>
          </cell>
          <cell r="K35" t="str">
            <v/>
          </cell>
        </row>
        <row r="36">
          <cell r="B36" t="str">
            <v>defaults_35</v>
          </cell>
          <cell r="C36" t="str">
            <v/>
          </cell>
          <cell r="D36" t="str">
            <v/>
          </cell>
          <cell r="E36" t="str">
            <v/>
          </cell>
          <cell r="F36" t="str">
            <v/>
          </cell>
          <cell r="G36" t="str">
            <v/>
          </cell>
          <cell r="H36" t="str">
            <v/>
          </cell>
          <cell r="I36" t="str">
            <v/>
          </cell>
          <cell r="J36" t="str">
            <v/>
          </cell>
          <cell r="K36" t="str">
            <v/>
          </cell>
        </row>
        <row r="37">
          <cell r="B37" t="str">
            <v>defaults_36</v>
          </cell>
          <cell r="C37" t="str">
            <v/>
          </cell>
          <cell r="D37" t="str">
            <v/>
          </cell>
          <cell r="E37" t="str">
            <v/>
          </cell>
          <cell r="F37" t="str">
            <v/>
          </cell>
          <cell r="G37" t="str">
            <v/>
          </cell>
          <cell r="H37" t="str">
            <v/>
          </cell>
          <cell r="I37" t="str">
            <v/>
          </cell>
          <cell r="J37" t="str">
            <v/>
          </cell>
          <cell r="K37" t="str">
            <v/>
          </cell>
        </row>
        <row r="38">
          <cell r="B38" t="str">
            <v>defaults_37</v>
          </cell>
          <cell r="C38" t="str">
            <v/>
          </cell>
          <cell r="D38" t="str">
            <v/>
          </cell>
          <cell r="E38" t="str">
            <v/>
          </cell>
          <cell r="F38" t="str">
            <v/>
          </cell>
          <cell r="G38" t="str">
            <v/>
          </cell>
          <cell r="H38" t="str">
            <v/>
          </cell>
          <cell r="I38" t="str">
            <v/>
          </cell>
          <cell r="J38" t="str">
            <v/>
          </cell>
          <cell r="K38" t="str">
            <v/>
          </cell>
        </row>
        <row r="39">
          <cell r="B39" t="str">
            <v>defaults_38</v>
          </cell>
          <cell r="C39" t="str">
            <v/>
          </cell>
          <cell r="D39" t="str">
            <v/>
          </cell>
          <cell r="E39" t="str">
            <v/>
          </cell>
          <cell r="F39" t="str">
            <v/>
          </cell>
          <cell r="G39" t="str">
            <v/>
          </cell>
          <cell r="H39" t="str">
            <v/>
          </cell>
          <cell r="I39" t="str">
            <v/>
          </cell>
          <cell r="J39" t="str">
            <v/>
          </cell>
          <cell r="K39" t="str">
            <v/>
          </cell>
        </row>
        <row r="40">
          <cell r="B40" t="str">
            <v>defaults_39</v>
          </cell>
          <cell r="C40" t="str">
            <v/>
          </cell>
          <cell r="D40" t="str">
            <v/>
          </cell>
          <cell r="E40" t="str">
            <v/>
          </cell>
          <cell r="F40" t="str">
            <v/>
          </cell>
          <cell r="G40" t="str">
            <v/>
          </cell>
          <cell r="H40" t="str">
            <v/>
          </cell>
          <cell r="I40" t="str">
            <v/>
          </cell>
          <cell r="J40" t="str">
            <v/>
          </cell>
          <cell r="K40" t="str">
            <v/>
          </cell>
        </row>
        <row r="41">
          <cell r="B41" t="str">
            <v>defaults_40</v>
          </cell>
          <cell r="C41" t="str">
            <v/>
          </cell>
          <cell r="D41" t="str">
            <v/>
          </cell>
          <cell r="E41" t="str">
            <v/>
          </cell>
          <cell r="F41" t="str">
            <v/>
          </cell>
          <cell r="G41" t="str">
            <v/>
          </cell>
          <cell r="H41" t="str">
            <v/>
          </cell>
          <cell r="I41" t="str">
            <v/>
          </cell>
          <cell r="J41" t="str">
            <v/>
          </cell>
          <cell r="K41" t="str">
            <v/>
          </cell>
        </row>
        <row r="42">
          <cell r="B42" t="str">
            <v>defaults_41</v>
          </cell>
          <cell r="C42" t="str">
            <v/>
          </cell>
          <cell r="D42" t="str">
            <v/>
          </cell>
          <cell r="E42" t="str">
            <v/>
          </cell>
          <cell r="F42" t="str">
            <v/>
          </cell>
          <cell r="G42" t="str">
            <v/>
          </cell>
          <cell r="H42" t="str">
            <v/>
          </cell>
          <cell r="I42" t="str">
            <v/>
          </cell>
          <cell r="J42" t="str">
            <v/>
          </cell>
          <cell r="K42" t="str">
            <v/>
          </cell>
        </row>
        <row r="43">
          <cell r="B43" t="str">
            <v>defaults_42</v>
          </cell>
          <cell r="C43" t="str">
            <v/>
          </cell>
          <cell r="D43" t="str">
            <v/>
          </cell>
          <cell r="E43" t="str">
            <v/>
          </cell>
          <cell r="F43" t="str">
            <v/>
          </cell>
          <cell r="G43" t="str">
            <v/>
          </cell>
          <cell r="H43" t="str">
            <v/>
          </cell>
          <cell r="I43" t="str">
            <v/>
          </cell>
          <cell r="J43" t="str">
            <v/>
          </cell>
          <cell r="K43" t="str">
            <v/>
          </cell>
        </row>
        <row r="44">
          <cell r="B44" t="str">
            <v>defaults_43</v>
          </cell>
          <cell r="C44" t="str">
            <v/>
          </cell>
          <cell r="D44" t="str">
            <v/>
          </cell>
          <cell r="E44" t="str">
            <v/>
          </cell>
          <cell r="F44" t="str">
            <v/>
          </cell>
          <cell r="G44" t="str">
            <v/>
          </cell>
          <cell r="H44" t="str">
            <v/>
          </cell>
          <cell r="I44" t="str">
            <v/>
          </cell>
          <cell r="J44" t="str">
            <v/>
          </cell>
          <cell r="K44" t="str">
            <v/>
          </cell>
        </row>
        <row r="45">
          <cell r="B45" t="str">
            <v>defaults_44</v>
          </cell>
          <cell r="C45" t="str">
            <v/>
          </cell>
          <cell r="D45" t="str">
            <v/>
          </cell>
          <cell r="E45" t="str">
            <v/>
          </cell>
          <cell r="F45" t="str">
            <v/>
          </cell>
          <cell r="G45" t="str">
            <v/>
          </cell>
          <cell r="H45" t="str">
            <v/>
          </cell>
          <cell r="I45" t="str">
            <v/>
          </cell>
          <cell r="J45" t="str">
            <v/>
          </cell>
          <cell r="K45" t="str">
            <v/>
          </cell>
        </row>
        <row r="46">
          <cell r="B46" t="str">
            <v>defaults_45</v>
          </cell>
          <cell r="C46" t="str">
            <v/>
          </cell>
          <cell r="D46" t="str">
            <v/>
          </cell>
          <cell r="E46" t="str">
            <v/>
          </cell>
          <cell r="F46" t="str">
            <v/>
          </cell>
          <cell r="G46" t="str">
            <v/>
          </cell>
          <cell r="H46" t="str">
            <v/>
          </cell>
          <cell r="I46" t="str">
            <v/>
          </cell>
          <cell r="J46" t="str">
            <v/>
          </cell>
          <cell r="K46" t="str">
            <v/>
          </cell>
        </row>
        <row r="47">
          <cell r="B47" t="str">
            <v>defaults_46</v>
          </cell>
          <cell r="C47" t="str">
            <v/>
          </cell>
          <cell r="D47" t="str">
            <v/>
          </cell>
          <cell r="E47" t="str">
            <v/>
          </cell>
          <cell r="F47" t="str">
            <v/>
          </cell>
          <cell r="G47" t="str">
            <v/>
          </cell>
          <cell r="H47" t="str">
            <v/>
          </cell>
          <cell r="I47" t="str">
            <v/>
          </cell>
          <cell r="J47" t="str">
            <v/>
          </cell>
          <cell r="K47" t="str">
            <v/>
          </cell>
        </row>
        <row r="48">
          <cell r="B48" t="str">
            <v>defaults_47</v>
          </cell>
          <cell r="C48" t="str">
            <v/>
          </cell>
          <cell r="D48" t="str">
            <v/>
          </cell>
          <cell r="E48" t="str">
            <v/>
          </cell>
          <cell r="F48" t="str">
            <v/>
          </cell>
          <cell r="G48" t="str">
            <v/>
          </cell>
          <cell r="H48" t="str">
            <v/>
          </cell>
          <cell r="I48" t="str">
            <v/>
          </cell>
          <cell r="J48" t="str">
            <v/>
          </cell>
          <cell r="K48" t="str">
            <v/>
          </cell>
        </row>
        <row r="49">
          <cell r="B49" t="str">
            <v>defaults_48</v>
          </cell>
          <cell r="C49" t="str">
            <v/>
          </cell>
          <cell r="D49" t="str">
            <v/>
          </cell>
          <cell r="E49" t="str">
            <v/>
          </cell>
          <cell r="F49" t="str">
            <v/>
          </cell>
          <cell r="G49" t="str">
            <v/>
          </cell>
          <cell r="H49" t="str">
            <v/>
          </cell>
          <cell r="I49" t="str">
            <v/>
          </cell>
          <cell r="J49" t="str">
            <v/>
          </cell>
          <cell r="K49" t="str">
            <v/>
          </cell>
        </row>
        <row r="50">
          <cell r="B50" t="str">
            <v>defaults_49</v>
          </cell>
          <cell r="C50" t="str">
            <v/>
          </cell>
          <cell r="D50" t="str">
            <v/>
          </cell>
          <cell r="E50" t="str">
            <v/>
          </cell>
          <cell r="F50" t="str">
            <v/>
          </cell>
          <cell r="G50" t="str">
            <v/>
          </cell>
          <cell r="H50" t="str">
            <v/>
          </cell>
          <cell r="I50" t="str">
            <v/>
          </cell>
          <cell r="J50" t="str">
            <v/>
          </cell>
          <cell r="K50" t="str">
            <v/>
          </cell>
        </row>
        <row r="51">
          <cell r="B51" t="str">
            <v>defaults_50</v>
          </cell>
          <cell r="C51" t="str">
            <v/>
          </cell>
          <cell r="D51" t="str">
            <v/>
          </cell>
          <cell r="E51" t="str">
            <v/>
          </cell>
          <cell r="F51" t="str">
            <v/>
          </cell>
          <cell r="G51" t="str">
            <v/>
          </cell>
          <cell r="H51" t="str">
            <v/>
          </cell>
          <cell r="I51" t="str">
            <v/>
          </cell>
          <cell r="J51" t="str">
            <v/>
          </cell>
          <cell r="K51" t="str">
            <v/>
          </cell>
        </row>
        <row r="52">
          <cell r="B52" t="str">
            <v>defaults_51</v>
          </cell>
          <cell r="C52" t="str">
            <v/>
          </cell>
          <cell r="D52" t="str">
            <v/>
          </cell>
          <cell r="E52" t="str">
            <v/>
          </cell>
          <cell r="F52" t="str">
            <v/>
          </cell>
          <cell r="G52" t="str">
            <v/>
          </cell>
          <cell r="H52" t="str">
            <v/>
          </cell>
          <cell r="I52" t="str">
            <v/>
          </cell>
          <cell r="J52" t="str">
            <v/>
          </cell>
          <cell r="K52" t="str">
            <v/>
          </cell>
        </row>
        <row r="53">
          <cell r="B53" t="str">
            <v>defaults_52</v>
          </cell>
          <cell r="C53" t="str">
            <v/>
          </cell>
          <cell r="D53" t="str">
            <v/>
          </cell>
          <cell r="E53" t="str">
            <v/>
          </cell>
          <cell r="F53" t="str">
            <v/>
          </cell>
          <cell r="G53" t="str">
            <v/>
          </cell>
          <cell r="H53" t="str">
            <v/>
          </cell>
          <cell r="I53" t="str">
            <v/>
          </cell>
          <cell r="J53" t="str">
            <v/>
          </cell>
          <cell r="K53" t="str">
            <v/>
          </cell>
        </row>
        <row r="54">
          <cell r="B54" t="str">
            <v>defaults_53</v>
          </cell>
          <cell r="C54" t="str">
            <v/>
          </cell>
          <cell r="D54" t="str">
            <v/>
          </cell>
          <cell r="E54" t="str">
            <v/>
          </cell>
          <cell r="F54" t="str">
            <v/>
          </cell>
          <cell r="G54" t="str">
            <v/>
          </cell>
          <cell r="H54" t="str">
            <v/>
          </cell>
          <cell r="I54" t="str">
            <v/>
          </cell>
          <cell r="J54" t="str">
            <v/>
          </cell>
          <cell r="K54" t="str">
            <v/>
          </cell>
        </row>
        <row r="55">
          <cell r="B55" t="str">
            <v>defaults_54</v>
          </cell>
          <cell r="C55" t="str">
            <v/>
          </cell>
          <cell r="D55" t="str">
            <v/>
          </cell>
          <cell r="E55" t="str">
            <v/>
          </cell>
          <cell r="F55" t="str">
            <v/>
          </cell>
          <cell r="G55" t="str">
            <v/>
          </cell>
          <cell r="H55" t="str">
            <v/>
          </cell>
          <cell r="I55" t="str">
            <v/>
          </cell>
          <cell r="J55" t="str">
            <v/>
          </cell>
          <cell r="K55" t="str">
            <v/>
          </cell>
        </row>
        <row r="56">
          <cell r="B56" t="str">
            <v>defaults_55</v>
          </cell>
          <cell r="C56" t="str">
            <v/>
          </cell>
          <cell r="D56" t="str">
            <v/>
          </cell>
          <cell r="E56" t="str">
            <v/>
          </cell>
          <cell r="F56" t="str">
            <v/>
          </cell>
          <cell r="G56" t="str">
            <v/>
          </cell>
          <cell r="H56" t="str">
            <v/>
          </cell>
          <cell r="I56" t="str">
            <v/>
          </cell>
          <cell r="J56" t="str">
            <v/>
          </cell>
          <cell r="K56" t="str">
            <v/>
          </cell>
        </row>
        <row r="57">
          <cell r="B57" t="str">
            <v>defaults_56</v>
          </cell>
          <cell r="C57" t="str">
            <v/>
          </cell>
          <cell r="D57" t="str">
            <v/>
          </cell>
          <cell r="E57" t="str">
            <v/>
          </cell>
          <cell r="F57" t="str">
            <v/>
          </cell>
          <cell r="G57" t="str">
            <v/>
          </cell>
          <cell r="H57" t="str">
            <v/>
          </cell>
          <cell r="I57" t="str">
            <v/>
          </cell>
          <cell r="J57" t="str">
            <v/>
          </cell>
          <cell r="K57" t="str">
            <v/>
          </cell>
        </row>
        <row r="58">
          <cell r="B58" t="str">
            <v>defaults_57</v>
          </cell>
          <cell r="C58" t="str">
            <v/>
          </cell>
          <cell r="D58" t="str">
            <v/>
          </cell>
          <cell r="E58" t="str">
            <v/>
          </cell>
          <cell r="F58" t="str">
            <v/>
          </cell>
          <cell r="G58" t="str">
            <v/>
          </cell>
          <cell r="H58" t="str">
            <v/>
          </cell>
          <cell r="I58" t="str">
            <v/>
          </cell>
          <cell r="J58" t="str">
            <v/>
          </cell>
          <cell r="K58" t="str">
            <v/>
          </cell>
        </row>
        <row r="59">
          <cell r="B59" t="str">
            <v>defaults_58</v>
          </cell>
          <cell r="C59" t="str">
            <v/>
          </cell>
          <cell r="D59" t="str">
            <v/>
          </cell>
          <cell r="E59" t="str">
            <v/>
          </cell>
          <cell r="F59" t="str">
            <v/>
          </cell>
          <cell r="G59" t="str">
            <v/>
          </cell>
          <cell r="H59" t="str">
            <v/>
          </cell>
          <cell r="I59" t="str">
            <v/>
          </cell>
          <cell r="J59" t="str">
            <v/>
          </cell>
          <cell r="K59" t="str">
            <v/>
          </cell>
        </row>
        <row r="60">
          <cell r="B60" t="str">
            <v>defaults_59</v>
          </cell>
          <cell r="C60" t="str">
            <v/>
          </cell>
          <cell r="D60" t="str">
            <v/>
          </cell>
          <cell r="E60" t="str">
            <v/>
          </cell>
          <cell r="F60" t="str">
            <v/>
          </cell>
          <cell r="G60" t="str">
            <v/>
          </cell>
          <cell r="H60" t="str">
            <v/>
          </cell>
          <cell r="I60" t="str">
            <v/>
          </cell>
          <cell r="J60" t="str">
            <v/>
          </cell>
          <cell r="K60" t="str">
            <v/>
          </cell>
        </row>
        <row r="61">
          <cell r="B61" t="str">
            <v>defaults_60</v>
          </cell>
          <cell r="C61" t="str">
            <v/>
          </cell>
          <cell r="D61" t="str">
            <v/>
          </cell>
          <cell r="E61" t="str">
            <v/>
          </cell>
          <cell r="F61" t="str">
            <v/>
          </cell>
          <cell r="G61" t="str">
            <v/>
          </cell>
          <cell r="H61" t="str">
            <v/>
          </cell>
          <cell r="I61" t="str">
            <v/>
          </cell>
          <cell r="J61" t="str">
            <v/>
          </cell>
          <cell r="K61" t="str">
            <v/>
          </cell>
        </row>
        <row r="62">
          <cell r="B62" t="str">
            <v>defaults_61</v>
          </cell>
          <cell r="C62" t="str">
            <v/>
          </cell>
          <cell r="D62" t="str">
            <v/>
          </cell>
          <cell r="E62" t="str">
            <v/>
          </cell>
          <cell r="F62" t="str">
            <v/>
          </cell>
          <cell r="G62" t="str">
            <v/>
          </cell>
          <cell r="H62" t="str">
            <v/>
          </cell>
          <cell r="I62" t="str">
            <v/>
          </cell>
          <cell r="J62" t="str">
            <v/>
          </cell>
          <cell r="K62" t="str">
            <v/>
          </cell>
        </row>
        <row r="63">
          <cell r="B63" t="str">
            <v>defaults_62</v>
          </cell>
          <cell r="C63" t="str">
            <v/>
          </cell>
          <cell r="D63" t="str">
            <v/>
          </cell>
          <cell r="E63" t="str">
            <v/>
          </cell>
          <cell r="F63" t="str">
            <v/>
          </cell>
          <cell r="G63" t="str">
            <v/>
          </cell>
          <cell r="H63" t="str">
            <v/>
          </cell>
          <cell r="I63" t="str">
            <v/>
          </cell>
          <cell r="J63" t="str">
            <v/>
          </cell>
          <cell r="K63" t="str">
            <v/>
          </cell>
        </row>
        <row r="64">
          <cell r="B64" t="str">
            <v>defaults_63</v>
          </cell>
          <cell r="C64" t="str">
            <v/>
          </cell>
          <cell r="D64" t="str">
            <v/>
          </cell>
          <cell r="E64" t="str">
            <v/>
          </cell>
          <cell r="F64" t="str">
            <v/>
          </cell>
          <cell r="G64" t="str">
            <v/>
          </cell>
          <cell r="H64" t="str">
            <v/>
          </cell>
          <cell r="I64" t="str">
            <v/>
          </cell>
          <cell r="J64" t="str">
            <v/>
          </cell>
          <cell r="K64" t="str">
            <v/>
          </cell>
        </row>
        <row r="65">
          <cell r="B65" t="str">
            <v>defaults_64</v>
          </cell>
          <cell r="C65" t="str">
            <v/>
          </cell>
          <cell r="D65" t="str">
            <v/>
          </cell>
          <cell r="E65" t="str">
            <v/>
          </cell>
          <cell r="F65" t="str">
            <v/>
          </cell>
          <cell r="G65" t="str">
            <v/>
          </cell>
          <cell r="H65" t="str">
            <v/>
          </cell>
          <cell r="I65" t="str">
            <v/>
          </cell>
          <cell r="J65" t="str">
            <v/>
          </cell>
          <cell r="K65" t="str">
            <v/>
          </cell>
        </row>
        <row r="66">
          <cell r="B66" t="str">
            <v>defaults_65</v>
          </cell>
          <cell r="C66" t="str">
            <v/>
          </cell>
          <cell r="D66" t="str">
            <v/>
          </cell>
          <cell r="E66" t="str">
            <v/>
          </cell>
          <cell r="F66" t="str">
            <v/>
          </cell>
          <cell r="G66" t="str">
            <v/>
          </cell>
          <cell r="H66" t="str">
            <v/>
          </cell>
          <cell r="I66" t="str">
            <v/>
          </cell>
          <cell r="J66" t="str">
            <v/>
          </cell>
          <cell r="K66" t="str">
            <v/>
          </cell>
        </row>
        <row r="67">
          <cell r="B67" t="str">
            <v>defaults_66</v>
          </cell>
          <cell r="C67" t="str">
            <v/>
          </cell>
          <cell r="D67" t="str">
            <v/>
          </cell>
          <cell r="E67" t="str">
            <v/>
          </cell>
          <cell r="F67" t="str">
            <v/>
          </cell>
          <cell r="G67" t="str">
            <v/>
          </cell>
          <cell r="H67" t="str">
            <v/>
          </cell>
          <cell r="I67" t="str">
            <v/>
          </cell>
          <cell r="J67" t="str">
            <v/>
          </cell>
          <cell r="K67" t="str">
            <v/>
          </cell>
        </row>
        <row r="68">
          <cell r="B68" t="str">
            <v>defaults_67</v>
          </cell>
          <cell r="C68" t="str">
            <v/>
          </cell>
          <cell r="D68" t="str">
            <v/>
          </cell>
          <cell r="E68" t="str">
            <v/>
          </cell>
          <cell r="F68" t="str">
            <v/>
          </cell>
          <cell r="G68" t="str">
            <v/>
          </cell>
          <cell r="H68" t="str">
            <v/>
          </cell>
          <cell r="I68" t="str">
            <v/>
          </cell>
          <cell r="J68" t="str">
            <v/>
          </cell>
          <cell r="K68" t="str">
            <v/>
          </cell>
        </row>
        <row r="69">
          <cell r="B69" t="str">
            <v>defaults_68</v>
          </cell>
          <cell r="C69" t="str">
            <v/>
          </cell>
          <cell r="D69" t="str">
            <v/>
          </cell>
          <cell r="E69" t="str">
            <v/>
          </cell>
          <cell r="F69" t="str">
            <v/>
          </cell>
          <cell r="G69" t="str">
            <v/>
          </cell>
          <cell r="H69" t="str">
            <v/>
          </cell>
          <cell r="I69" t="str">
            <v/>
          </cell>
          <cell r="J69" t="str">
            <v/>
          </cell>
          <cell r="K69" t="str">
            <v/>
          </cell>
        </row>
        <row r="70">
          <cell r="B70" t="str">
            <v>defaults_69</v>
          </cell>
          <cell r="C70" t="str">
            <v/>
          </cell>
          <cell r="D70" t="str">
            <v/>
          </cell>
          <cell r="E70" t="str">
            <v/>
          </cell>
          <cell r="F70" t="str">
            <v/>
          </cell>
          <cell r="G70" t="str">
            <v/>
          </cell>
          <cell r="H70" t="str">
            <v/>
          </cell>
          <cell r="I70" t="str">
            <v/>
          </cell>
          <cell r="J70" t="str">
            <v/>
          </cell>
          <cell r="K70" t="str">
            <v/>
          </cell>
        </row>
        <row r="71">
          <cell r="B71" t="str">
            <v>defaults_70</v>
          </cell>
          <cell r="C71" t="str">
            <v/>
          </cell>
          <cell r="D71" t="str">
            <v/>
          </cell>
          <cell r="E71" t="str">
            <v/>
          </cell>
          <cell r="F71" t="str">
            <v/>
          </cell>
          <cell r="G71" t="str">
            <v/>
          </cell>
          <cell r="H71" t="str">
            <v/>
          </cell>
          <cell r="I71" t="str">
            <v/>
          </cell>
          <cell r="J71" t="str">
            <v/>
          </cell>
          <cell r="K71" t="str">
            <v/>
          </cell>
        </row>
        <row r="72">
          <cell r="B72" t="str">
            <v>defaults_71</v>
          </cell>
          <cell r="C72" t="str">
            <v/>
          </cell>
          <cell r="D72" t="str">
            <v/>
          </cell>
          <cell r="E72" t="str">
            <v/>
          </cell>
          <cell r="F72" t="str">
            <v/>
          </cell>
          <cell r="G72" t="str">
            <v/>
          </cell>
          <cell r="H72" t="str">
            <v/>
          </cell>
          <cell r="I72" t="str">
            <v/>
          </cell>
          <cell r="J72" t="str">
            <v/>
          </cell>
          <cell r="K72" t="str">
            <v/>
          </cell>
        </row>
        <row r="73">
          <cell r="B73" t="str">
            <v>defaults_72</v>
          </cell>
          <cell r="C73" t="str">
            <v/>
          </cell>
          <cell r="D73" t="str">
            <v/>
          </cell>
          <cell r="E73" t="str">
            <v/>
          </cell>
          <cell r="F73" t="str">
            <v/>
          </cell>
          <cell r="G73" t="str">
            <v/>
          </cell>
          <cell r="H73" t="str">
            <v/>
          </cell>
          <cell r="I73" t="str">
            <v/>
          </cell>
          <cell r="J73" t="str">
            <v/>
          </cell>
          <cell r="K73" t="str">
            <v/>
          </cell>
        </row>
        <row r="74">
          <cell r="B74" t="str">
            <v>defaults_73</v>
          </cell>
          <cell r="C74" t="str">
            <v/>
          </cell>
          <cell r="D74" t="str">
            <v/>
          </cell>
          <cell r="E74" t="str">
            <v/>
          </cell>
          <cell r="F74" t="str">
            <v/>
          </cell>
          <cell r="G74" t="str">
            <v/>
          </cell>
          <cell r="H74" t="str">
            <v/>
          </cell>
          <cell r="I74" t="str">
            <v/>
          </cell>
          <cell r="J74" t="str">
            <v/>
          </cell>
          <cell r="K74" t="str">
            <v/>
          </cell>
        </row>
        <row r="75">
          <cell r="B75" t="str">
            <v>defaults_74</v>
          </cell>
          <cell r="C75" t="str">
            <v/>
          </cell>
          <cell r="D75" t="str">
            <v/>
          </cell>
          <cell r="E75" t="str">
            <v/>
          </cell>
          <cell r="F75" t="str">
            <v/>
          </cell>
          <cell r="G75" t="str">
            <v/>
          </cell>
          <cell r="H75" t="str">
            <v/>
          </cell>
          <cell r="I75" t="str">
            <v/>
          </cell>
          <cell r="J75" t="str">
            <v/>
          </cell>
          <cell r="K75" t="str">
            <v/>
          </cell>
        </row>
        <row r="76">
          <cell r="B76" t="str">
            <v>defaults_75</v>
          </cell>
          <cell r="C76" t="str">
            <v/>
          </cell>
          <cell r="D76" t="str">
            <v/>
          </cell>
          <cell r="E76" t="str">
            <v/>
          </cell>
          <cell r="F76" t="str">
            <v/>
          </cell>
          <cell r="G76" t="str">
            <v/>
          </cell>
          <cell r="H76" t="str">
            <v/>
          </cell>
          <cell r="I76" t="str">
            <v/>
          </cell>
          <cell r="J76" t="str">
            <v/>
          </cell>
          <cell r="K76" t="str">
            <v/>
          </cell>
        </row>
        <row r="77">
          <cell r="B77" t="str">
            <v>defaults_76</v>
          </cell>
          <cell r="C77" t="str">
            <v/>
          </cell>
          <cell r="D77" t="str">
            <v/>
          </cell>
          <cell r="E77" t="str">
            <v/>
          </cell>
          <cell r="F77" t="str">
            <v/>
          </cell>
          <cell r="G77" t="str">
            <v/>
          </cell>
          <cell r="H77" t="str">
            <v/>
          </cell>
          <cell r="I77" t="str">
            <v/>
          </cell>
          <cell r="J77" t="str">
            <v/>
          </cell>
          <cell r="K77" t="str">
            <v/>
          </cell>
        </row>
        <row r="78">
          <cell r="B78" t="str">
            <v>defaults_77</v>
          </cell>
          <cell r="C78" t="str">
            <v/>
          </cell>
          <cell r="D78" t="str">
            <v/>
          </cell>
          <cell r="E78" t="str">
            <v/>
          </cell>
          <cell r="F78" t="str">
            <v/>
          </cell>
          <cell r="G78" t="str">
            <v/>
          </cell>
          <cell r="H78" t="str">
            <v/>
          </cell>
          <cell r="I78" t="str">
            <v/>
          </cell>
          <cell r="J78" t="str">
            <v/>
          </cell>
          <cell r="K78" t="str">
            <v/>
          </cell>
        </row>
        <row r="79">
          <cell r="B79" t="str">
            <v>defaults_78</v>
          </cell>
          <cell r="C79" t="str">
            <v/>
          </cell>
          <cell r="D79" t="str">
            <v/>
          </cell>
          <cell r="E79" t="str">
            <v/>
          </cell>
          <cell r="F79" t="str">
            <v/>
          </cell>
          <cell r="G79" t="str">
            <v/>
          </cell>
          <cell r="H79" t="str">
            <v/>
          </cell>
          <cell r="I79" t="str">
            <v/>
          </cell>
          <cell r="J79" t="str">
            <v/>
          </cell>
          <cell r="K79" t="str">
            <v/>
          </cell>
        </row>
        <row r="80">
          <cell r="B80" t="str">
            <v>defaults_79</v>
          </cell>
          <cell r="C80" t="str">
            <v/>
          </cell>
          <cell r="D80" t="str">
            <v/>
          </cell>
          <cell r="E80" t="str">
            <v/>
          </cell>
          <cell r="F80" t="str">
            <v/>
          </cell>
          <cell r="G80" t="str">
            <v/>
          </cell>
          <cell r="H80" t="str">
            <v/>
          </cell>
          <cell r="I80" t="str">
            <v/>
          </cell>
          <cell r="J80" t="str">
            <v/>
          </cell>
          <cell r="K80" t="str">
            <v/>
          </cell>
        </row>
        <row r="81">
          <cell r="B81" t="str">
            <v>defaults_80</v>
          </cell>
          <cell r="C81" t="str">
            <v/>
          </cell>
          <cell r="D81" t="str">
            <v/>
          </cell>
          <cell r="E81" t="str">
            <v/>
          </cell>
          <cell r="F81" t="str">
            <v/>
          </cell>
          <cell r="G81" t="str">
            <v/>
          </cell>
          <cell r="H81" t="str">
            <v/>
          </cell>
          <cell r="I81" t="str">
            <v/>
          </cell>
          <cell r="J81" t="str">
            <v/>
          </cell>
          <cell r="K81" t="str">
            <v/>
          </cell>
        </row>
      </sheetData>
      <sheetData sheetId="42">
        <row r="1">
          <cell r="B1" t="str">
            <v>RANGE</v>
          </cell>
        </row>
      </sheetData>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70" zoomScaleNormal="55" zoomScaleSheetLayoutView="70" workbookViewId="0">
      <selection activeCell="B3" sqref="B3"/>
    </sheetView>
  </sheetViews>
  <sheetFormatPr baseColWidth="10" defaultColWidth="11.453125" defaultRowHeight="12.5"/>
  <cols>
    <col min="1" max="16384" width="11.453125" style="105"/>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T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65" customWidth="1"/>
    <col min="2" max="2" width="50.81640625" style="265" customWidth="1"/>
    <col min="3" max="3" width="19.54296875" style="265" bestFit="1" customWidth="1"/>
    <col min="4" max="4" width="27.453125" style="265" bestFit="1" customWidth="1"/>
    <col min="5" max="5" width="4.81640625" style="265" customWidth="1"/>
    <col min="6" max="6" width="24.54296875" style="265" bestFit="1" customWidth="1"/>
    <col min="7" max="7" width="4.81640625" style="265" customWidth="1"/>
    <col min="8" max="8" width="27.81640625" style="265" bestFit="1" customWidth="1"/>
    <col min="9" max="9" width="4.81640625" style="265" customWidth="1"/>
    <col min="10" max="10" width="30.54296875" style="265" bestFit="1" customWidth="1"/>
    <col min="11" max="11" width="4.81640625" style="265" customWidth="1"/>
    <col min="12" max="12" width="30.54296875" style="265" bestFit="1" customWidth="1"/>
    <col min="13" max="13" width="4.81640625" style="265" customWidth="1"/>
    <col min="14" max="14" width="29.453125" style="265" bestFit="1" customWidth="1"/>
    <col min="15" max="16" width="4.81640625" style="265" customWidth="1"/>
    <col min="17" max="17" width="10.81640625" style="265" customWidth="1"/>
    <col min="18" max="18" width="1.1796875" style="265" customWidth="1"/>
    <col min="19" max="19" width="38.54296875" style="701" customWidth="1"/>
    <col min="20" max="20" width="15.81640625" style="702" customWidth="1"/>
    <col min="21" max="21" width="17.81640625" style="265" customWidth="1"/>
    <col min="22" max="16384" width="9.1796875" style="265"/>
  </cols>
  <sheetData>
    <row r="1" spans="1:20" ht="6" customHeight="1">
      <c r="A1" s="262"/>
      <c r="B1" s="263"/>
      <c r="C1" s="263"/>
      <c r="D1" s="263"/>
      <c r="E1" s="263"/>
      <c r="F1" s="263"/>
      <c r="G1" s="263"/>
      <c r="H1" s="263"/>
      <c r="I1" s="263"/>
      <c r="J1" s="263"/>
      <c r="K1" s="263"/>
      <c r="L1" s="263"/>
      <c r="M1" s="263"/>
      <c r="N1" s="263"/>
      <c r="O1" s="263"/>
      <c r="P1" s="263"/>
      <c r="Q1" s="263"/>
      <c r="R1" s="264"/>
    </row>
    <row r="2" spans="1:20" ht="18">
      <c r="A2" s="312"/>
      <c r="B2" s="267" t="str">
        <f>'Cover Sheet'!B2</f>
        <v>SC Germany Consumer 2023-1</v>
      </c>
      <c r="C2" s="23"/>
      <c r="D2" s="268" t="s">
        <v>50</v>
      </c>
      <c r="E2" s="269"/>
      <c r="F2" s="270">
        <f>'Cover Sheet'!F2</f>
        <v>45973</v>
      </c>
      <c r="G2" s="269"/>
      <c r="H2" s="269"/>
      <c r="I2" s="269"/>
      <c r="J2" s="269"/>
      <c r="K2" s="269"/>
      <c r="L2" s="269"/>
      <c r="M2" s="269"/>
      <c r="N2" s="269"/>
      <c r="O2" s="269"/>
      <c r="P2" s="269"/>
      <c r="Q2" s="271"/>
      <c r="R2" s="109"/>
      <c r="S2" s="703"/>
    </row>
    <row r="3" spans="1:20" ht="18">
      <c r="A3" s="312"/>
      <c r="B3" s="267" t="str">
        <f>'Cover Sheet'!B3</f>
        <v>Monthly Investor Report</v>
      </c>
      <c r="C3" s="23"/>
      <c r="D3" s="275" t="s">
        <v>2</v>
      </c>
      <c r="E3" s="276"/>
      <c r="F3" s="277">
        <f>'Cover Sheet'!F3</f>
        <v>45975</v>
      </c>
      <c r="G3" s="276"/>
      <c r="H3" s="276"/>
      <c r="I3" s="276"/>
      <c r="J3" s="276"/>
      <c r="K3" s="276"/>
      <c r="L3" s="276"/>
      <c r="M3" s="276"/>
      <c r="N3" s="276"/>
      <c r="O3" s="276"/>
      <c r="P3" s="276"/>
      <c r="Q3" s="278"/>
      <c r="R3" s="109"/>
      <c r="S3" s="703"/>
    </row>
    <row r="4" spans="1:20">
      <c r="A4" s="312"/>
      <c r="B4" s="280"/>
      <c r="C4" s="23"/>
      <c r="D4" s="275" t="s">
        <v>3</v>
      </c>
      <c r="E4" s="276"/>
      <c r="F4" s="281">
        <f>'Cover Sheet'!F4</f>
        <v>27</v>
      </c>
      <c r="G4" s="276"/>
      <c r="H4" s="276"/>
      <c r="I4" s="276"/>
      <c r="J4" s="276"/>
      <c r="K4" s="276"/>
      <c r="L4" s="282"/>
      <c r="M4" s="282"/>
      <c r="N4" s="282"/>
      <c r="O4" s="276"/>
      <c r="P4" s="276"/>
      <c r="Q4" s="283"/>
      <c r="R4" s="109"/>
      <c r="S4" s="703"/>
    </row>
    <row r="5" spans="1:20" ht="18">
      <c r="A5" s="312"/>
      <c r="B5" s="284" t="s">
        <v>139</v>
      </c>
      <c r="C5" s="23"/>
      <c r="D5" s="275" t="s">
        <v>1</v>
      </c>
      <c r="E5" s="276"/>
      <c r="F5" s="150">
        <f>'Cover Sheet'!F5</f>
        <v>45975</v>
      </c>
      <c r="G5" s="276"/>
      <c r="H5" s="276"/>
      <c r="I5" s="276"/>
      <c r="J5" s="276"/>
      <c r="K5" s="276"/>
      <c r="L5" s="282"/>
      <c r="M5" s="282"/>
      <c r="N5" s="282"/>
      <c r="O5" s="276"/>
      <c r="P5" s="276"/>
      <c r="Q5" s="283"/>
      <c r="R5" s="109"/>
      <c r="S5" s="703"/>
    </row>
    <row r="6" spans="1:20" s="274" customFormat="1" ht="15" customHeight="1">
      <c r="A6" s="266"/>
      <c r="B6" s="285"/>
      <c r="C6" s="354"/>
      <c r="D6" s="275" t="s">
        <v>51</v>
      </c>
      <c r="E6" s="287" t="s">
        <v>34</v>
      </c>
      <c r="F6" s="277">
        <f>'Cover Sheet'!F6</f>
        <v>45944</v>
      </c>
      <c r="G6" s="287" t="str">
        <f>'Cover Sheet'!G6</f>
        <v>to</v>
      </c>
      <c r="H6" s="277">
        <f>'Cover Sheet'!H6</f>
        <v>45975</v>
      </c>
      <c r="I6" s="287" t="str">
        <f>'Cover Sheet'!I6</f>
        <v>=</v>
      </c>
      <c r="J6" s="704" t="str">
        <f>'Cover Sheet'!J6</f>
        <v>31 days</v>
      </c>
      <c r="K6" s="287"/>
      <c r="L6" s="277"/>
      <c r="M6" s="277"/>
      <c r="N6" s="277"/>
      <c r="O6" s="287"/>
      <c r="P6" s="287"/>
      <c r="Q6" s="396"/>
      <c r="R6" s="352"/>
      <c r="S6" s="705"/>
      <c r="T6" s="355"/>
    </row>
    <row r="7" spans="1:20">
      <c r="A7" s="312"/>
      <c r="B7" s="23"/>
      <c r="C7" s="23"/>
      <c r="D7" s="706" t="s">
        <v>111</v>
      </c>
      <c r="E7" s="707" t="s">
        <v>34</v>
      </c>
      <c r="F7" s="291" t="str">
        <f>'Cover Sheet'!F7</f>
        <v>01.10.2025</v>
      </c>
      <c r="G7" s="707" t="str">
        <f>'Cover Sheet'!G7</f>
        <v>to</v>
      </c>
      <c r="H7" s="291">
        <f>'Cover Sheet'!H7</f>
        <v>45961</v>
      </c>
      <c r="I7" s="707"/>
      <c r="J7" s="707"/>
      <c r="K7" s="707"/>
      <c r="L7" s="291"/>
      <c r="M7" s="291"/>
      <c r="N7" s="291"/>
      <c r="O7" s="292"/>
      <c r="P7" s="292"/>
      <c r="Q7" s="293"/>
      <c r="R7" s="109"/>
      <c r="S7" s="703"/>
    </row>
    <row r="8" spans="1:20" ht="13">
      <c r="A8" s="312"/>
      <c r="B8" s="23"/>
      <c r="C8" s="23"/>
      <c r="D8" s="708"/>
      <c r="E8" s="5"/>
      <c r="F8" s="708"/>
      <c r="G8" s="23"/>
      <c r="H8" s="23"/>
      <c r="I8" s="23"/>
      <c r="J8" s="23"/>
      <c r="K8" s="23"/>
      <c r="L8" s="709"/>
      <c r="M8" s="709"/>
      <c r="N8" s="709"/>
      <c r="O8" s="23"/>
      <c r="P8" s="23"/>
      <c r="Q8" s="23"/>
      <c r="R8" s="109"/>
    </row>
    <row r="9" spans="1:20" ht="13">
      <c r="A9" s="312"/>
      <c r="B9" s="710"/>
      <c r="C9" s="23"/>
      <c r="D9" s="708"/>
      <c r="E9" s="5"/>
      <c r="F9" s="708"/>
      <c r="G9" s="23"/>
      <c r="H9" s="23"/>
      <c r="I9" s="23"/>
      <c r="J9" s="23"/>
      <c r="K9" s="23"/>
      <c r="L9" s="709"/>
      <c r="M9" s="709"/>
      <c r="N9" s="709"/>
      <c r="O9" s="23"/>
      <c r="P9" s="23"/>
      <c r="Q9" s="23"/>
      <c r="R9" s="109"/>
    </row>
    <row r="10" spans="1:20">
      <c r="A10" s="312"/>
      <c r="B10" s="23"/>
      <c r="C10" s="23"/>
      <c r="D10" s="23"/>
      <c r="E10" s="23"/>
      <c r="F10" s="23"/>
      <c r="G10" s="23"/>
      <c r="H10" s="23"/>
      <c r="I10" s="23"/>
      <c r="J10" s="23"/>
      <c r="K10" s="23"/>
      <c r="L10" s="711"/>
      <c r="M10" s="711"/>
      <c r="N10" s="711"/>
      <c r="O10" s="23"/>
      <c r="P10" s="23"/>
      <c r="Q10" s="23"/>
      <c r="R10" s="109"/>
    </row>
    <row r="11" spans="1:20" ht="18" customHeight="1">
      <c r="A11" s="312"/>
      <c r="B11" s="23"/>
      <c r="C11" s="23"/>
      <c r="D11" s="23"/>
      <c r="E11" s="23"/>
      <c r="F11" s="23"/>
      <c r="G11" s="23"/>
      <c r="H11" s="23"/>
      <c r="I11" s="23"/>
      <c r="J11" s="23"/>
      <c r="K11" s="23"/>
      <c r="L11" s="23"/>
      <c r="M11" s="23"/>
      <c r="N11" s="23"/>
      <c r="O11" s="23"/>
      <c r="P11" s="23"/>
      <c r="Q11" s="23"/>
      <c r="R11" s="109"/>
    </row>
    <row r="12" spans="1:20">
      <c r="A12" s="312"/>
      <c r="B12" s="23"/>
      <c r="C12" s="23"/>
      <c r="D12" s="23"/>
      <c r="E12" s="23"/>
      <c r="F12" s="23"/>
      <c r="G12" s="23"/>
      <c r="H12" s="23"/>
      <c r="I12" s="23"/>
      <c r="J12" s="23"/>
      <c r="K12" s="23"/>
      <c r="L12" s="23"/>
      <c r="M12" s="23"/>
      <c r="N12" s="23"/>
      <c r="O12" s="23"/>
      <c r="P12" s="23"/>
      <c r="Q12" s="23"/>
      <c r="R12" s="109"/>
    </row>
    <row r="13" spans="1:20" ht="18">
      <c r="A13" s="312"/>
      <c r="B13" s="302" t="s">
        <v>25</v>
      </c>
      <c r="C13" s="712" t="s">
        <v>7</v>
      </c>
      <c r="D13" s="712" t="s">
        <v>5</v>
      </c>
      <c r="E13" s="712"/>
      <c r="F13" s="712" t="s">
        <v>6</v>
      </c>
      <c r="G13" s="712"/>
      <c r="H13" s="712" t="s">
        <v>181</v>
      </c>
      <c r="I13" s="712"/>
      <c r="J13" s="712" t="s">
        <v>182</v>
      </c>
      <c r="K13" s="712"/>
      <c r="L13" s="712" t="s">
        <v>183</v>
      </c>
      <c r="M13" s="712"/>
      <c r="N13" s="712" t="s">
        <v>229</v>
      </c>
      <c r="O13" s="712"/>
      <c r="P13" s="712"/>
      <c r="Q13" s="712"/>
      <c r="R13" s="109"/>
      <c r="S13" s="713"/>
    </row>
    <row r="14" spans="1:20" ht="12.75" customHeight="1">
      <c r="A14" s="312"/>
      <c r="B14" s="714" t="s">
        <v>16</v>
      </c>
      <c r="C14" s="715"/>
      <c r="D14" s="715"/>
      <c r="E14" s="715"/>
      <c r="F14" s="715"/>
      <c r="G14" s="715"/>
      <c r="H14" s="715"/>
      <c r="I14" s="715"/>
      <c r="J14" s="715"/>
      <c r="K14" s="715"/>
      <c r="L14" s="715"/>
      <c r="M14" s="715"/>
      <c r="N14" s="715"/>
      <c r="O14" s="715"/>
      <c r="P14" s="715"/>
      <c r="Q14" s="716"/>
      <c r="R14" s="109"/>
      <c r="S14" s="713"/>
    </row>
    <row r="15" spans="1:20" ht="14.25" customHeight="1">
      <c r="A15" s="312"/>
      <c r="B15" s="312" t="s">
        <v>17</v>
      </c>
      <c r="C15" s="717"/>
      <c r="D15" s="126" t="s">
        <v>592</v>
      </c>
      <c r="E15" s="702"/>
      <c r="F15" s="89" t="s">
        <v>788</v>
      </c>
      <c r="G15" s="126"/>
      <c r="H15" s="89" t="s">
        <v>593</v>
      </c>
      <c r="I15" s="126"/>
      <c r="J15" s="89" t="s">
        <v>787</v>
      </c>
      <c r="K15" s="126"/>
      <c r="L15" s="89" t="s">
        <v>594</v>
      </c>
      <c r="M15" s="718"/>
      <c r="N15" s="89" t="s">
        <v>595</v>
      </c>
      <c r="O15" s="126"/>
      <c r="P15" s="717"/>
      <c r="Q15" s="719"/>
      <c r="R15" s="109"/>
      <c r="S15" s="713"/>
    </row>
    <row r="16" spans="1:20" ht="14.25" customHeight="1">
      <c r="A16" s="312"/>
      <c r="B16" s="312" t="s">
        <v>57</v>
      </c>
      <c r="C16" s="717"/>
      <c r="D16" s="126" t="s">
        <v>55</v>
      </c>
      <c r="E16" s="126"/>
      <c r="F16" s="126" t="s">
        <v>55</v>
      </c>
      <c r="G16" s="720"/>
      <c r="H16" s="126" t="s">
        <v>55</v>
      </c>
      <c r="I16" s="720"/>
      <c r="J16" s="126" t="s">
        <v>55</v>
      </c>
      <c r="K16" s="720"/>
      <c r="L16" s="126" t="s">
        <v>55</v>
      </c>
      <c r="M16" s="126"/>
      <c r="N16" s="126" t="s">
        <v>55</v>
      </c>
      <c r="O16" s="720"/>
      <c r="P16" s="717"/>
      <c r="Q16" s="719"/>
      <c r="R16" s="109"/>
      <c r="S16" s="713"/>
    </row>
    <row r="17" spans="1:20" ht="13">
      <c r="A17" s="312"/>
      <c r="B17" s="312" t="s">
        <v>18</v>
      </c>
      <c r="C17" s="711" t="s">
        <v>8</v>
      </c>
      <c r="D17" s="721">
        <v>0.75700000000000001</v>
      </c>
      <c r="E17" s="721"/>
      <c r="F17" s="721">
        <v>0.05</v>
      </c>
      <c r="G17" s="721"/>
      <c r="H17" s="721">
        <v>5.2999999999999999E-2</v>
      </c>
      <c r="I17" s="721"/>
      <c r="J17" s="721">
        <v>5.1999999999999998E-2</v>
      </c>
      <c r="K17" s="721"/>
      <c r="L17" s="721">
        <v>5.2999999999999999E-2</v>
      </c>
      <c r="M17" s="721"/>
      <c r="N17" s="721">
        <v>1.4E-2</v>
      </c>
      <c r="O17" s="721"/>
      <c r="P17" s="722"/>
      <c r="Q17" s="723"/>
      <c r="R17" s="109"/>
      <c r="S17" s="724"/>
    </row>
    <row r="18" spans="1:20" ht="13">
      <c r="A18" s="312"/>
      <c r="B18" s="312" t="s">
        <v>140</v>
      </c>
      <c r="C18" s="711"/>
      <c r="D18" s="718">
        <v>50297</v>
      </c>
      <c r="E18" s="702"/>
      <c r="F18" s="718">
        <v>50297</v>
      </c>
      <c r="G18" s="126"/>
      <c r="H18" s="718">
        <v>50297</v>
      </c>
      <c r="I18" s="126"/>
      <c r="J18" s="718">
        <v>50297</v>
      </c>
      <c r="K18" s="126"/>
      <c r="L18" s="718">
        <v>50297</v>
      </c>
      <c r="M18" s="718"/>
      <c r="N18" s="718">
        <v>50297</v>
      </c>
      <c r="O18" s="126"/>
      <c r="P18" s="722"/>
      <c r="Q18" s="723"/>
      <c r="R18" s="109"/>
      <c r="S18" s="724"/>
    </row>
    <row r="19" spans="1:20" ht="13">
      <c r="A19" s="312"/>
      <c r="B19" s="312" t="s">
        <v>169</v>
      </c>
      <c r="C19" s="711"/>
      <c r="D19" s="718">
        <v>49201</v>
      </c>
      <c r="E19" s="702"/>
      <c r="F19" s="718">
        <v>49201</v>
      </c>
      <c r="G19" s="126"/>
      <c r="H19" s="718">
        <v>49201</v>
      </c>
      <c r="I19" s="126"/>
      <c r="J19" s="718">
        <v>49201</v>
      </c>
      <c r="K19" s="126"/>
      <c r="L19" s="718">
        <v>49201</v>
      </c>
      <c r="M19" s="718"/>
      <c r="N19" s="718">
        <v>49201</v>
      </c>
      <c r="O19" s="126"/>
      <c r="P19" s="722"/>
      <c r="Q19" s="723"/>
      <c r="R19" s="109"/>
      <c r="S19" s="724"/>
    </row>
    <row r="20" spans="1:20" ht="13">
      <c r="A20" s="312"/>
      <c r="B20" s="312" t="s">
        <v>814</v>
      </c>
      <c r="C20" s="711"/>
      <c r="D20" s="126" t="s">
        <v>807</v>
      </c>
      <c r="E20" s="126"/>
      <c r="F20" s="126" t="s">
        <v>808</v>
      </c>
      <c r="G20" s="126"/>
      <c r="H20" s="126" t="s">
        <v>809</v>
      </c>
      <c r="I20" s="126"/>
      <c r="J20" s="126" t="s">
        <v>810</v>
      </c>
      <c r="K20" s="126"/>
      <c r="L20" s="126" t="s">
        <v>811</v>
      </c>
      <c r="M20" s="126"/>
      <c r="N20" s="126" t="s">
        <v>812</v>
      </c>
      <c r="O20" s="126"/>
      <c r="P20" s="722"/>
      <c r="Q20" s="723"/>
      <c r="R20" s="109"/>
      <c r="S20" s="724"/>
    </row>
    <row r="21" spans="1:20" ht="13">
      <c r="A21" s="312"/>
      <c r="B21" s="312" t="s">
        <v>813</v>
      </c>
      <c r="C21" s="725" t="s">
        <v>786</v>
      </c>
      <c r="D21" s="126" t="str">
        <f>VLOOKUP(D15,ratings,18,0)</f>
        <v>AAA (sf)/AAA (sf)/Aaa (sf)</v>
      </c>
      <c r="E21" s="126"/>
      <c r="F21" s="126" t="str">
        <f>VLOOKUP(F15,ratings,18,0)</f>
        <v>AA (sf)/AA (sf)/Aa1 (sf)</v>
      </c>
      <c r="G21" s="126"/>
      <c r="H21" s="126" t="str">
        <f>VLOOKUP(H15,ratings,18,0)</f>
        <v>A (high) (sf)/A (sf)/Aa3 (sf)</v>
      </c>
      <c r="I21" s="126"/>
      <c r="J21" s="126" t="str">
        <f>VLOOKUP(J15,ratings,18,0)</f>
        <v>A (low) (sf)/BBB (sf)/Baa1 (sf)</v>
      </c>
      <c r="K21" s="126"/>
      <c r="L21" s="126" t="str">
        <f>VLOOKUP(L15,ratings,18,0)</f>
        <v>BBB (low) (sf)/BB (sf)/Ba1 (sf)</v>
      </c>
      <c r="M21" s="126"/>
      <c r="N21" s="126" t="str">
        <f>VLOOKUP(N15,ratings,18,0)</f>
        <v>BB (high) (sf)/BB (sf)/Ba3 (sf)</v>
      </c>
      <c r="O21" s="126"/>
      <c r="P21" s="722"/>
      <c r="Q21" s="723"/>
      <c r="R21" s="109"/>
      <c r="S21" s="724"/>
    </row>
    <row r="22" spans="1:20">
      <c r="A22" s="312"/>
      <c r="B22" s="312" t="s">
        <v>45</v>
      </c>
      <c r="C22" s="726">
        <f>SUM(D22:O22)</f>
        <v>783200000</v>
      </c>
      <c r="D22" s="727">
        <v>605600000</v>
      </c>
      <c r="E22" s="126"/>
      <c r="F22" s="727">
        <v>40000000</v>
      </c>
      <c r="G22" s="126"/>
      <c r="H22" s="727">
        <v>42400000</v>
      </c>
      <c r="I22" s="126"/>
      <c r="J22" s="727">
        <v>41600000</v>
      </c>
      <c r="K22" s="126"/>
      <c r="L22" s="727">
        <v>42400000</v>
      </c>
      <c r="M22" s="126"/>
      <c r="N22" s="727">
        <v>11200000</v>
      </c>
      <c r="O22" s="126"/>
      <c r="P22" s="728"/>
      <c r="Q22" s="729"/>
      <c r="R22" s="109"/>
    </row>
    <row r="23" spans="1:20">
      <c r="A23" s="312"/>
      <c r="B23" s="312" t="s">
        <v>19</v>
      </c>
      <c r="C23" s="710"/>
      <c r="D23" s="727">
        <v>100000</v>
      </c>
      <c r="E23" s="5"/>
      <c r="F23" s="727">
        <f>D23</f>
        <v>100000</v>
      </c>
      <c r="G23" s="5"/>
      <c r="H23" s="727">
        <f>D23</f>
        <v>100000</v>
      </c>
      <c r="I23" s="5"/>
      <c r="J23" s="727">
        <f>D23</f>
        <v>100000</v>
      </c>
      <c r="K23" s="5"/>
      <c r="L23" s="727">
        <f>D23</f>
        <v>100000</v>
      </c>
      <c r="M23" s="727"/>
      <c r="N23" s="727">
        <f>D23</f>
        <v>100000</v>
      </c>
      <c r="O23" s="5"/>
      <c r="P23" s="23"/>
      <c r="Q23" s="730"/>
      <c r="R23" s="109"/>
      <c r="T23" s="731"/>
    </row>
    <row r="24" spans="1:20">
      <c r="A24" s="312"/>
      <c r="B24" s="372" t="s">
        <v>20</v>
      </c>
      <c r="C24" s="732"/>
      <c r="D24" s="733">
        <f>D22/D23</f>
        <v>6056</v>
      </c>
      <c r="E24" s="734"/>
      <c r="F24" s="733">
        <f>F22/F23</f>
        <v>400</v>
      </c>
      <c r="G24" s="733"/>
      <c r="H24" s="733">
        <f>H22/H23</f>
        <v>424</v>
      </c>
      <c r="I24" s="733"/>
      <c r="J24" s="733">
        <f>J22/J23</f>
        <v>416</v>
      </c>
      <c r="K24" s="733"/>
      <c r="L24" s="733">
        <f>L22/L23</f>
        <v>424</v>
      </c>
      <c r="M24" s="733"/>
      <c r="N24" s="733">
        <f>N22/N23</f>
        <v>112</v>
      </c>
      <c r="O24" s="733"/>
      <c r="P24" s="38"/>
      <c r="Q24" s="735"/>
      <c r="R24" s="109"/>
    </row>
    <row r="25" spans="1:20" ht="12.75" customHeight="1">
      <c r="A25" s="312"/>
      <c r="B25" s="262"/>
      <c r="C25" s="263"/>
      <c r="D25" s="736"/>
      <c r="E25" s="263"/>
      <c r="F25" s="736"/>
      <c r="G25" s="263"/>
      <c r="H25" s="263"/>
      <c r="I25" s="263"/>
      <c r="J25" s="263"/>
      <c r="K25" s="263"/>
      <c r="L25" s="736"/>
      <c r="M25" s="736"/>
      <c r="N25" s="736"/>
      <c r="O25" s="263"/>
      <c r="P25" s="263"/>
      <c r="Q25" s="737"/>
      <c r="R25" s="109"/>
    </row>
    <row r="26" spans="1:20" ht="13">
      <c r="A26" s="312"/>
      <c r="B26" s="738" t="s">
        <v>21</v>
      </c>
      <c r="C26" s="23"/>
      <c r="D26" s="23"/>
      <c r="E26" s="23"/>
      <c r="F26" s="23"/>
      <c r="G26" s="23"/>
      <c r="H26" s="23"/>
      <c r="I26" s="23"/>
      <c r="J26" s="23"/>
      <c r="K26" s="23"/>
      <c r="L26" s="23"/>
      <c r="M26" s="23"/>
      <c r="N26" s="23"/>
      <c r="O26" s="23"/>
      <c r="P26" s="23"/>
      <c r="Q26" s="109"/>
      <c r="R26" s="109"/>
    </row>
    <row r="27" spans="1:20">
      <c r="A27" s="312"/>
      <c r="B27" s="312" t="s">
        <v>46</v>
      </c>
      <c r="C27" s="739">
        <f>SUM(D27,F27,H27,J27,L27,N27)</f>
        <v>493887303.59999996</v>
      </c>
      <c r="D27" s="920">
        <f>VLOOKUP("A_Notes_bop",calcdata,2,0)</f>
        <v>370053757.36000001</v>
      </c>
      <c r="E27" s="921"/>
      <c r="F27" s="920">
        <f>VLOOKUP("B_Notes_bop",calcdata,2,0)</f>
        <v>27883064</v>
      </c>
      <c r="G27" s="921"/>
      <c r="H27" s="920">
        <f>VLOOKUP("C_Notes_bop",calcdata,2,0)</f>
        <v>29556047.84</v>
      </c>
      <c r="I27" s="921"/>
      <c r="J27" s="920">
        <f>VLOOKUP("D_Notes_bop",calcdata,2,0)</f>
        <v>28998386.559999999</v>
      </c>
      <c r="K27" s="921"/>
      <c r="L27" s="920">
        <f>VLOOKUP("E_Notes_bop",calcdata,2,0)</f>
        <v>29556047.84</v>
      </c>
      <c r="M27" s="921"/>
      <c r="N27" s="920">
        <f>VLOOKUP("F_Notes_bop",calcdata,2,0)</f>
        <v>7840000</v>
      </c>
      <c r="O27" s="126"/>
      <c r="P27" s="710"/>
      <c r="Q27" s="730"/>
      <c r="R27" s="109"/>
    </row>
    <row r="28" spans="1:20">
      <c r="A28" s="312"/>
      <c r="B28" s="312"/>
      <c r="C28" s="739"/>
      <c r="D28" s="739"/>
      <c r="E28" s="739"/>
      <c r="F28" s="739"/>
      <c r="G28" s="739"/>
      <c r="H28" s="739"/>
      <c r="I28" s="739"/>
      <c r="J28" s="739"/>
      <c r="K28" s="739"/>
      <c r="L28" s="739"/>
      <c r="M28" s="739"/>
      <c r="N28" s="739"/>
      <c r="O28" s="710"/>
      <c r="P28" s="710"/>
      <c r="Q28" s="730"/>
      <c r="R28" s="109"/>
    </row>
    <row r="29" spans="1:20">
      <c r="A29" s="312"/>
      <c r="B29" s="312" t="s">
        <v>141</v>
      </c>
      <c r="C29" s="739">
        <f>VLOOKUP("Replenishment",calcdata,2,0)</f>
        <v>0</v>
      </c>
      <c r="D29" s="739"/>
      <c r="E29" s="739"/>
      <c r="F29" s="739"/>
      <c r="G29" s="739"/>
      <c r="H29" s="739"/>
      <c r="I29" s="739"/>
      <c r="J29" s="739"/>
      <c r="K29" s="739"/>
      <c r="L29" s="739"/>
      <c r="M29" s="739"/>
      <c r="N29" s="739"/>
      <c r="O29" s="23"/>
      <c r="P29" s="23"/>
      <c r="Q29" s="109"/>
      <c r="R29" s="109"/>
    </row>
    <row r="30" spans="1:20">
      <c r="A30" s="312"/>
      <c r="B30" s="312" t="s">
        <v>96</v>
      </c>
      <c r="C30" s="739">
        <f>VLOOKUP("Amortisation",calcdata,2,0)</f>
        <v>16339330.24</v>
      </c>
      <c r="D30" s="739"/>
      <c r="E30" s="739"/>
      <c r="F30" s="739"/>
      <c r="G30" s="739"/>
      <c r="H30" s="739"/>
      <c r="I30" s="739"/>
      <c r="J30" s="739"/>
      <c r="K30" s="739"/>
      <c r="L30" s="739"/>
      <c r="M30" s="739"/>
      <c r="N30" s="739"/>
      <c r="O30" s="23"/>
      <c r="P30" s="23"/>
      <c r="Q30" s="109"/>
      <c r="R30" s="109"/>
    </row>
    <row r="31" spans="1:20">
      <c r="A31" s="312"/>
      <c r="B31" s="312" t="s">
        <v>23</v>
      </c>
      <c r="C31" s="739"/>
      <c r="D31" s="914">
        <f>VLOOKUP("A_Redemption",calcdata,2,0)</f>
        <v>16339330.24</v>
      </c>
      <c r="E31" s="914"/>
      <c r="F31" s="914">
        <f>VLOOKUP("B_Redemption",calcdata,2,0)</f>
        <v>0</v>
      </c>
      <c r="G31" s="914"/>
      <c r="H31" s="914">
        <f>VLOOKUP("C_Redemption",calcdata,2,0)</f>
        <v>0</v>
      </c>
      <c r="I31" s="914"/>
      <c r="J31" s="914">
        <f>VLOOKUP("D_Redemption",calcdata,2,0)</f>
        <v>0</v>
      </c>
      <c r="K31" s="914"/>
      <c r="L31" s="914">
        <f>VLOOKUP("E_Redemption",calcdata,2,0)</f>
        <v>0</v>
      </c>
      <c r="M31" s="914"/>
      <c r="N31" s="914">
        <f>VLOOKUP("F_Redemption",calcdata,2,0)</f>
        <v>0</v>
      </c>
      <c r="O31" s="710"/>
      <c r="P31" s="710"/>
      <c r="Q31" s="730"/>
      <c r="R31" s="109"/>
    </row>
    <row r="32" spans="1:20">
      <c r="A32" s="312"/>
      <c r="B32" s="312" t="s">
        <v>22</v>
      </c>
      <c r="C32" s="739"/>
      <c r="D32" s="739">
        <f>IF(ISNUMBER(D31),D31/D24,"")</f>
        <v>2698.04</v>
      </c>
      <c r="E32" s="739"/>
      <c r="F32" s="739">
        <f>IF(ISNUMBER(F31),F31/F24,"")</f>
        <v>0</v>
      </c>
      <c r="G32" s="739"/>
      <c r="H32" s="739">
        <f>IF(ISNUMBER(H31),H31/H24,"")</f>
        <v>0</v>
      </c>
      <c r="I32" s="739"/>
      <c r="J32" s="739">
        <f>IF(ISNUMBER(J31),J31/J24,"")</f>
        <v>0</v>
      </c>
      <c r="K32" s="739"/>
      <c r="L32" s="739">
        <f>IF(ISNUMBER(L31),L31/L24,"")</f>
        <v>0</v>
      </c>
      <c r="M32" s="739"/>
      <c r="N32" s="739">
        <f>IF(ISNUMBER(N31),N31/N24,"")</f>
        <v>0</v>
      </c>
      <c r="O32" s="710"/>
      <c r="P32" s="710"/>
      <c r="Q32" s="730"/>
      <c r="R32" s="109"/>
    </row>
    <row r="33" spans="1:18">
      <c r="A33" s="312"/>
      <c r="B33" s="312" t="s">
        <v>47</v>
      </c>
      <c r="C33" s="739">
        <f>SUM(D33,F33,H33,J33,L33,N33)</f>
        <v>477547973.35999995</v>
      </c>
      <c r="D33" s="739">
        <f>D27-D31</f>
        <v>353714427.12</v>
      </c>
      <c r="E33" s="739"/>
      <c r="F33" s="739">
        <f>F27-F31</f>
        <v>27883064</v>
      </c>
      <c r="G33" s="739"/>
      <c r="H33" s="739">
        <f>H27-H31</f>
        <v>29556047.84</v>
      </c>
      <c r="I33" s="739"/>
      <c r="J33" s="739">
        <f>J27-J31</f>
        <v>28998386.559999999</v>
      </c>
      <c r="K33" s="739"/>
      <c r="L33" s="739">
        <f>L27-L31</f>
        <v>29556047.84</v>
      </c>
      <c r="M33" s="739"/>
      <c r="N33" s="739">
        <f>N27-N31</f>
        <v>7840000</v>
      </c>
      <c r="O33" s="23"/>
      <c r="P33" s="23"/>
      <c r="Q33" s="730"/>
      <c r="R33" s="109"/>
    </row>
    <row r="34" spans="1:18">
      <c r="A34" s="312"/>
      <c r="B34" s="312" t="s">
        <v>24</v>
      </c>
      <c r="C34" s="23"/>
      <c r="D34" s="740">
        <f>+D33/$C$33</f>
        <v>0.74068878280706696</v>
      </c>
      <c r="E34" s="23"/>
      <c r="F34" s="740">
        <f>+F33/$C$33</f>
        <v>5.8387985198254264E-2</v>
      </c>
      <c r="G34" s="23"/>
      <c r="H34" s="740">
        <f>+H33/$C$33</f>
        <v>6.1891264310149519E-2</v>
      </c>
      <c r="I34" s="23"/>
      <c r="J34" s="740">
        <f>+J33/$C$33</f>
        <v>6.0723504606184434E-2</v>
      </c>
      <c r="K34" s="23"/>
      <c r="L34" s="740">
        <f>+L33/$C$33</f>
        <v>6.1891264310149519E-2</v>
      </c>
      <c r="M34" s="740"/>
      <c r="N34" s="740">
        <f>+N33/$C$33</f>
        <v>1.6417198768195397E-2</v>
      </c>
      <c r="O34" s="23"/>
      <c r="P34" s="23"/>
      <c r="Q34" s="741"/>
      <c r="R34" s="109"/>
    </row>
    <row r="35" spans="1:18">
      <c r="A35" s="312"/>
      <c r="B35" s="372" t="s">
        <v>27</v>
      </c>
      <c r="C35" s="742">
        <f>C33/C22</f>
        <v>0.60973949611848821</v>
      </c>
      <c r="D35" s="742">
        <f>D33/D22</f>
        <v>0.5840727</v>
      </c>
      <c r="E35" s="38"/>
      <c r="F35" s="742">
        <f>F33/F22</f>
        <v>0.69707660000000005</v>
      </c>
      <c r="G35" s="38"/>
      <c r="H35" s="742">
        <f>H33/H22</f>
        <v>0.69707660000000005</v>
      </c>
      <c r="I35" s="38"/>
      <c r="J35" s="742">
        <f>J33/J22</f>
        <v>0.69707659999999994</v>
      </c>
      <c r="K35" s="38"/>
      <c r="L35" s="742">
        <f>L33/L22</f>
        <v>0.69707660000000005</v>
      </c>
      <c r="M35" s="742"/>
      <c r="N35" s="742">
        <f>N33/N22</f>
        <v>0.7</v>
      </c>
      <c r="O35" s="38"/>
      <c r="P35" s="38"/>
      <c r="Q35" s="743"/>
      <c r="R35" s="109"/>
    </row>
    <row r="36" spans="1:18">
      <c r="A36" s="312"/>
      <c r="B36" s="23"/>
      <c r="C36" s="23"/>
      <c r="D36" s="23"/>
      <c r="E36" s="23"/>
      <c r="F36" s="23"/>
      <c r="G36" s="23"/>
      <c r="H36" s="23"/>
      <c r="I36" s="23"/>
      <c r="J36" s="23"/>
      <c r="K36" s="23"/>
      <c r="L36" s="23"/>
      <c r="M36" s="23"/>
      <c r="N36" s="23"/>
      <c r="O36" s="23"/>
      <c r="P36" s="23"/>
      <c r="Q36" s="23"/>
      <c r="R36" s="109"/>
    </row>
    <row r="37" spans="1:18" ht="18">
      <c r="A37" s="312"/>
      <c r="B37" s="302" t="s">
        <v>26</v>
      </c>
      <c r="C37" s="712" t="s">
        <v>7</v>
      </c>
      <c r="D37" s="712" t="s">
        <v>5</v>
      </c>
      <c r="E37" s="712"/>
      <c r="F37" s="712" t="s">
        <v>6</v>
      </c>
      <c r="G37" s="712"/>
      <c r="H37" s="712" t="s">
        <v>181</v>
      </c>
      <c r="I37" s="712"/>
      <c r="J37" s="712" t="s">
        <v>182</v>
      </c>
      <c r="K37" s="712"/>
      <c r="L37" s="712" t="s">
        <v>183</v>
      </c>
      <c r="M37" s="712"/>
      <c r="N37" s="712" t="s">
        <v>229</v>
      </c>
      <c r="O37" s="712"/>
      <c r="P37" s="712"/>
      <c r="Q37" s="712"/>
      <c r="R37" s="109"/>
    </row>
    <row r="38" spans="1:18">
      <c r="A38" s="312"/>
      <c r="B38" s="262" t="s">
        <v>184</v>
      </c>
      <c r="C38" s="744">
        <f>VLOOKUP("1M_euribor",calcdata,2,0)</f>
        <v>1.9199999999999998E-2</v>
      </c>
      <c r="D38" s="982" t="s">
        <v>596</v>
      </c>
      <c r="E38" s="983"/>
      <c r="F38" s="984" t="s">
        <v>597</v>
      </c>
      <c r="G38" s="984"/>
      <c r="H38" s="984" t="s">
        <v>598</v>
      </c>
      <c r="I38" s="984"/>
      <c r="J38" s="984" t="s">
        <v>599</v>
      </c>
      <c r="K38" s="984"/>
      <c r="L38" s="984" t="s">
        <v>600</v>
      </c>
      <c r="M38" s="984"/>
      <c r="N38" s="984" t="s">
        <v>601</v>
      </c>
      <c r="O38" s="745"/>
      <c r="P38" s="263"/>
      <c r="Q38" s="746"/>
      <c r="R38" s="109"/>
    </row>
    <row r="39" spans="1:18">
      <c r="A39" s="312"/>
      <c r="B39" s="312" t="s">
        <v>58</v>
      </c>
      <c r="C39" s="747"/>
      <c r="D39" s="749" t="s">
        <v>56</v>
      </c>
      <c r="E39" s="711"/>
      <c r="F39" s="749" t="s">
        <v>56</v>
      </c>
      <c r="G39" s="711"/>
      <c r="H39" s="749" t="s">
        <v>56</v>
      </c>
      <c r="I39" s="711"/>
      <c r="J39" s="749" t="s">
        <v>56</v>
      </c>
      <c r="K39" s="711"/>
      <c r="L39" s="749" t="s">
        <v>56</v>
      </c>
      <c r="M39" s="749"/>
      <c r="N39" s="749" t="s">
        <v>56</v>
      </c>
      <c r="O39" s="5"/>
      <c r="P39" s="23"/>
      <c r="Q39" s="748"/>
      <c r="R39" s="109"/>
    </row>
    <row r="40" spans="1:18">
      <c r="A40" s="312"/>
      <c r="B40" s="312" t="s">
        <v>94</v>
      </c>
      <c r="C40" s="747">
        <f>VLOOKUP("Interest_days",calcdata,2,0)</f>
        <v>31</v>
      </c>
      <c r="D40" s="749"/>
      <c r="E40" s="23"/>
      <c r="F40" s="749"/>
      <c r="G40" s="23"/>
      <c r="H40" s="23"/>
      <c r="I40" s="23"/>
      <c r="J40" s="23"/>
      <c r="K40" s="23"/>
      <c r="L40" s="750"/>
      <c r="M40" s="750"/>
      <c r="N40" s="750"/>
      <c r="O40" s="23"/>
      <c r="P40" s="23"/>
      <c r="Q40" s="748"/>
      <c r="R40" s="109"/>
    </row>
    <row r="41" spans="1:18">
      <c r="A41" s="312"/>
      <c r="B41" s="312" t="s">
        <v>28</v>
      </c>
      <c r="C41" s="710"/>
      <c r="D41" s="739">
        <f>D27/D24</f>
        <v>61105.310000000005</v>
      </c>
      <c r="E41" s="739"/>
      <c r="F41" s="739">
        <f>F27/F24</f>
        <v>69707.66</v>
      </c>
      <c r="G41" s="739"/>
      <c r="H41" s="739">
        <f>H27/H24</f>
        <v>69707.66</v>
      </c>
      <c r="I41" s="739"/>
      <c r="J41" s="739">
        <f>J27/J24</f>
        <v>69707.66</v>
      </c>
      <c r="K41" s="739"/>
      <c r="L41" s="739">
        <f>L27/L24</f>
        <v>69707.66</v>
      </c>
      <c r="M41" s="739"/>
      <c r="N41" s="739">
        <f>N27/N24</f>
        <v>70000</v>
      </c>
      <c r="O41" s="23"/>
      <c r="P41" s="23"/>
      <c r="Q41" s="730"/>
      <c r="R41" s="109"/>
    </row>
    <row r="42" spans="1:18">
      <c r="A42" s="312"/>
      <c r="B42" s="946" t="s">
        <v>769</v>
      </c>
      <c r="C42" s="710"/>
      <c r="D42" s="739"/>
      <c r="E42" s="739"/>
      <c r="F42" s="739"/>
      <c r="G42" s="739"/>
      <c r="H42" s="739"/>
      <c r="I42" s="739"/>
      <c r="J42" s="739"/>
      <c r="K42" s="739"/>
      <c r="L42" s="739"/>
      <c r="M42" s="739"/>
      <c r="N42" s="739">
        <f>VLOOKUP("F_accrued_Target_Amortisation",calcdata,2,0)/N24</f>
        <v>105000</v>
      </c>
      <c r="O42" s="23"/>
      <c r="P42" s="23"/>
      <c r="Q42" s="730"/>
      <c r="R42" s="109"/>
    </row>
    <row r="43" spans="1:18" ht="13">
      <c r="A43" s="312"/>
      <c r="B43" s="312" t="s">
        <v>30</v>
      </c>
      <c r="C43" s="751"/>
      <c r="D43" s="752">
        <f>+D32</f>
        <v>2698.04</v>
      </c>
      <c r="E43" s="752"/>
      <c r="F43" s="752">
        <f>+F32</f>
        <v>0</v>
      </c>
      <c r="G43" s="752"/>
      <c r="H43" s="752">
        <f>+H32</f>
        <v>0</v>
      </c>
      <c r="I43" s="752"/>
      <c r="J43" s="752">
        <f>+J32</f>
        <v>0</v>
      </c>
      <c r="K43" s="752"/>
      <c r="L43" s="752">
        <f>+L32</f>
        <v>0</v>
      </c>
      <c r="M43" s="752"/>
      <c r="N43" s="752">
        <f>+N32</f>
        <v>0</v>
      </c>
      <c r="O43" s="22"/>
      <c r="P43" s="22"/>
      <c r="Q43" s="753"/>
      <c r="R43" s="109"/>
    </row>
    <row r="44" spans="1:18">
      <c r="A44" s="312"/>
      <c r="B44" s="312" t="s">
        <v>29</v>
      </c>
      <c r="C44" s="751"/>
      <c r="D44" s="739">
        <f>D41-D43</f>
        <v>58407.270000000004</v>
      </c>
      <c r="E44" s="739"/>
      <c r="F44" s="739">
        <f>F41-F43</f>
        <v>69707.66</v>
      </c>
      <c r="G44" s="739"/>
      <c r="H44" s="739">
        <f>H41-H43</f>
        <v>69707.66</v>
      </c>
      <c r="I44" s="739"/>
      <c r="J44" s="739">
        <f>J41-J43</f>
        <v>69707.66</v>
      </c>
      <c r="K44" s="739"/>
      <c r="L44" s="739">
        <f>L41-L43</f>
        <v>69707.66</v>
      </c>
      <c r="M44" s="739"/>
      <c r="N44" s="739">
        <f>N41-N43</f>
        <v>70000</v>
      </c>
      <c r="O44" s="23"/>
      <c r="P44" s="23"/>
      <c r="Q44" s="730"/>
      <c r="R44" s="109"/>
    </row>
    <row r="45" spans="1:18" ht="13">
      <c r="A45" s="312"/>
      <c r="B45" s="312" t="s">
        <v>84</v>
      </c>
      <c r="C45" s="754"/>
      <c r="D45" s="752">
        <f>-'19. PoP + Transaction Costs'!E63</f>
        <v>-841238.96</v>
      </c>
      <c r="E45" s="752"/>
      <c r="F45" s="752">
        <f>-'19. PoP + Transaction Costs'!G63</f>
        <v>-83316</v>
      </c>
      <c r="G45" s="739"/>
      <c r="H45" s="752">
        <f>-'19. PoP + Transaction Costs'!I63</f>
        <v>-117583.67999999999</v>
      </c>
      <c r="I45" s="739"/>
      <c r="J45" s="752">
        <f>-'19. PoP + Transaction Costs'!K63</f>
        <v>-151573.76000000001</v>
      </c>
      <c r="K45" s="739"/>
      <c r="L45" s="752">
        <f>-'19. PoP + Transaction Costs'!M63</f>
        <v>-220662.32</v>
      </c>
      <c r="M45" s="752"/>
      <c r="N45" s="752">
        <f>-'19. PoP + Transaction Costs'!O63</f>
        <v>-72033.919999999998</v>
      </c>
      <c r="O45" s="23"/>
      <c r="P45" s="23"/>
      <c r="Q45" s="730"/>
      <c r="R45" s="109"/>
    </row>
    <row r="46" spans="1:18" ht="13">
      <c r="A46" s="312"/>
      <c r="B46" s="312" t="s">
        <v>93</v>
      </c>
      <c r="C46" s="754"/>
      <c r="D46" s="914">
        <f>VLOOKUP("A_Interests",calcdata,2,0)</f>
        <v>841238.96</v>
      </c>
      <c r="E46" s="752"/>
      <c r="F46" s="914">
        <f>VLOOKUP("B_Interests",calcdata,2,0)</f>
        <v>83316</v>
      </c>
      <c r="G46" s="739"/>
      <c r="H46" s="914">
        <f>VLOOKUP("C_Interests",calcdata,2,0)</f>
        <v>117583.67999999999</v>
      </c>
      <c r="I46" s="914"/>
      <c r="J46" s="914">
        <f>VLOOKUP("D_Interests",calcdata,2,0)</f>
        <v>151573.76000000001</v>
      </c>
      <c r="K46" s="739"/>
      <c r="L46" s="914">
        <f>VLOOKUP("E_Interests",calcdata,2,0)</f>
        <v>220662.32</v>
      </c>
      <c r="M46" s="914"/>
      <c r="N46" s="914">
        <f>VLOOKUP("F_Interests",calcdata,2,0)</f>
        <v>72033.919999999998</v>
      </c>
      <c r="O46" s="23"/>
      <c r="P46" s="23"/>
      <c r="Q46" s="730"/>
      <c r="R46" s="109"/>
    </row>
    <row r="47" spans="1:18" ht="13">
      <c r="A47" s="312"/>
      <c r="B47" s="372" t="s">
        <v>85</v>
      </c>
      <c r="C47" s="38"/>
      <c r="D47" s="915">
        <f>D46/D24</f>
        <v>138.91</v>
      </c>
      <c r="E47" s="755"/>
      <c r="F47" s="915">
        <f>F46/F24</f>
        <v>208.29</v>
      </c>
      <c r="G47" s="756"/>
      <c r="H47" s="915">
        <f>H46/H24</f>
        <v>277.32</v>
      </c>
      <c r="I47" s="756"/>
      <c r="J47" s="915">
        <f>J46/J24</f>
        <v>364.36</v>
      </c>
      <c r="K47" s="756"/>
      <c r="L47" s="915">
        <f>L46/L24</f>
        <v>520.43000000000006</v>
      </c>
      <c r="M47" s="755"/>
      <c r="N47" s="915">
        <f>N46/N24</f>
        <v>643.16</v>
      </c>
      <c r="O47" s="38"/>
      <c r="P47" s="38"/>
      <c r="Q47" s="757"/>
      <c r="R47" s="109"/>
    </row>
    <row r="48" spans="1:18" ht="13">
      <c r="A48" s="312"/>
      <c r="G48" s="758"/>
      <c r="H48" s="758"/>
      <c r="I48" s="758"/>
      <c r="J48" s="758"/>
      <c r="K48" s="758"/>
      <c r="L48" s="758"/>
      <c r="M48" s="758"/>
      <c r="N48" s="758"/>
      <c r="O48" s="758"/>
      <c r="P48" s="758"/>
      <c r="Q48" s="758"/>
      <c r="R48" s="109"/>
    </row>
    <row r="49" spans="1:18">
      <c r="A49" s="312"/>
      <c r="B49" s="23"/>
      <c r="C49" s="710"/>
      <c r="D49" s="710"/>
      <c r="E49" s="23"/>
      <c r="F49" s="710"/>
      <c r="G49" s="23"/>
      <c r="H49" s="23"/>
      <c r="I49" s="23"/>
      <c r="J49" s="23"/>
      <c r="K49" s="23"/>
      <c r="L49" s="710"/>
      <c r="M49" s="710"/>
      <c r="N49" s="710"/>
      <c r="O49" s="23"/>
      <c r="P49" s="23"/>
      <c r="Q49" s="710"/>
      <c r="R49" s="109"/>
    </row>
    <row r="50" spans="1:18" ht="18">
      <c r="A50" s="312"/>
      <c r="B50" s="302" t="s">
        <v>31</v>
      </c>
      <c r="C50" s="23"/>
      <c r="D50" s="712" t="s">
        <v>5</v>
      </c>
      <c r="E50" s="712"/>
      <c r="F50" s="712" t="s">
        <v>6</v>
      </c>
      <c r="G50" s="23"/>
      <c r="H50" s="712" t="s">
        <v>181</v>
      </c>
      <c r="I50" s="712"/>
      <c r="J50" s="712" t="s">
        <v>182</v>
      </c>
      <c r="K50" s="712"/>
      <c r="L50" s="712" t="s">
        <v>183</v>
      </c>
      <c r="M50" s="712"/>
      <c r="N50" s="712" t="s">
        <v>229</v>
      </c>
      <c r="O50" s="23"/>
      <c r="P50" s="23"/>
      <c r="Q50" s="23"/>
      <c r="R50" s="109"/>
    </row>
    <row r="51" spans="1:18">
      <c r="A51" s="312"/>
      <c r="B51" s="262" t="s">
        <v>54</v>
      </c>
      <c r="C51" s="263"/>
      <c r="D51" s="760">
        <v>0.25769999999999998</v>
      </c>
      <c r="E51" s="759"/>
      <c r="F51" s="760">
        <v>0.2077</v>
      </c>
      <c r="G51" s="760"/>
      <c r="H51" s="760">
        <v>0.1547</v>
      </c>
      <c r="I51" s="760"/>
      <c r="J51" s="760">
        <v>0.1027</v>
      </c>
      <c r="K51" s="760"/>
      <c r="L51" s="760">
        <v>4.9700000000000001E-2</v>
      </c>
      <c r="M51" s="760"/>
      <c r="N51" s="760">
        <v>3.5700000000000003E-2</v>
      </c>
      <c r="O51" s="759"/>
      <c r="P51" s="760"/>
      <c r="Q51" s="761"/>
      <c r="R51" s="109"/>
    </row>
    <row r="52" spans="1:18">
      <c r="A52" s="312"/>
      <c r="B52" s="372" t="s">
        <v>230</v>
      </c>
      <c r="C52" s="38"/>
      <c r="D52" s="763">
        <f>1-'5. Outstanding Notes'!D33/'1. Portfolio Information'!$F$32+'2. Reserve Accounts'!$D$24/'1. Portfolio Information'!$F$32</f>
        <v>0.29203201909723275</v>
      </c>
      <c r="E52" s="763"/>
      <c r="F52" s="763">
        <f>1-SUM('5. Outstanding Notes'!F33,D33)/'1. Portfolio Information'!$F$32+'2. Reserve Accounts'!$D$24/'1. Portfolio Information'!$F$32</f>
        <v>0.2354331081628537</v>
      </c>
      <c r="G52" s="763"/>
      <c r="H52" s="763">
        <f>1-SUM('5. Outstanding Notes'!H33,F33,D33)/'1. Portfolio Information'!$F$32+'2. Reserve Accounts'!$D$24/'1. Portfolio Information'!$F$32</f>
        <v>0.17543826257241182</v>
      </c>
      <c r="I52" s="763"/>
      <c r="J52" s="763">
        <f>1-SUM('5. Outstanding Notes'!J33,H33,F33,D33)/'1. Portfolio Information'!$F$32+'2. Reserve Accounts'!$D$24/'1. Portfolio Information'!$F$32</f>
        <v>0.11657539520065764</v>
      </c>
      <c r="K52" s="763"/>
      <c r="L52" s="763">
        <f>1-SUM('5. Outstanding Notes'!L33,J33,H33,F33,D33)/'1. Portfolio Information'!$F$32+'2. Reserve Accounts'!$D$24/'1. Portfolio Information'!$F$32</f>
        <v>5.6580549610215761E-2</v>
      </c>
      <c r="M52" s="763"/>
      <c r="N52" s="763">
        <f>1-SUM(L33,J33,H33,F33,D33,'5. Outstanding Notes'!N33)/'1. Portfolio Information'!$F$32+'2. Reserve Accounts'!$D$24/'1. Portfolio Information'!$F$32</f>
        <v>4.0666392481518168E-2</v>
      </c>
      <c r="O52" s="762"/>
      <c r="P52" s="763"/>
      <c r="Q52" s="764"/>
      <c r="R52" s="109"/>
    </row>
    <row r="53" spans="1:18">
      <c r="A53" s="312"/>
      <c r="B53" s="23"/>
      <c r="C53" s="23"/>
      <c r="D53" s="751"/>
      <c r="E53" s="751"/>
      <c r="F53" s="751"/>
      <c r="G53" s="751"/>
      <c r="H53" s="751"/>
      <c r="I53" s="751"/>
      <c r="J53" s="751"/>
      <c r="K53" s="751"/>
      <c r="L53" s="751"/>
      <c r="M53" s="751"/>
      <c r="N53" s="751"/>
      <c r="O53" s="751"/>
      <c r="P53" s="751"/>
      <c r="Q53" s="751"/>
      <c r="R53" s="109"/>
    </row>
    <row r="54" spans="1:18">
      <c r="A54" s="312"/>
      <c r="B54" s="71"/>
      <c r="C54" s="23"/>
      <c r="D54" s="751"/>
      <c r="E54" s="751"/>
      <c r="F54" s="751"/>
      <c r="G54" s="751"/>
      <c r="H54" s="751"/>
      <c r="I54" s="751"/>
      <c r="J54" s="751"/>
      <c r="K54" s="751"/>
      <c r="L54" s="751"/>
      <c r="M54" s="751"/>
      <c r="N54" s="751"/>
      <c r="O54" s="751"/>
      <c r="P54" s="751"/>
      <c r="Q54" s="751"/>
      <c r="R54" s="109"/>
    </row>
    <row r="55" spans="1:18" ht="13.5" customHeight="1">
      <c r="A55" s="372"/>
      <c r="B55" s="38" t="s">
        <v>1037</v>
      </c>
      <c r="C55" s="38"/>
      <c r="D55" s="38"/>
      <c r="E55" s="38"/>
      <c r="F55" s="38"/>
      <c r="G55" s="38"/>
      <c r="H55" s="38"/>
      <c r="I55" s="38"/>
      <c r="J55" s="38"/>
      <c r="K55" s="38"/>
      <c r="L55" s="38"/>
      <c r="M55" s="38"/>
      <c r="N55" s="38"/>
      <c r="O55" s="38"/>
      <c r="P55" s="38"/>
      <c r="Q55" s="38"/>
      <c r="R55" s="110"/>
    </row>
  </sheetData>
  <pageMargins left="0.70866141732283472" right="0.70866141732283472" top="0.78740157480314965" bottom="0.78740157480314965" header="0.31496062992125984" footer="0.31496062992125984"/>
  <pageSetup paperSize="9" scale="46"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4" width="22" style="124" customWidth="1"/>
    <col min="5" max="5" width="18.54296875" style="124" customWidth="1"/>
    <col min="6" max="6" width="17.1796875" style="124" customWidth="1"/>
    <col min="7" max="8" width="19" style="124" customWidth="1"/>
    <col min="9" max="9" width="9.1796875" style="124" customWidth="1"/>
    <col min="10" max="10" width="15.453125" style="124" customWidth="1"/>
    <col min="11" max="11" width="1.1796875" style="124" customWidth="1"/>
    <col min="12" max="12" width="4.1796875" style="124" customWidth="1"/>
    <col min="13" max="13" width="22" style="124" customWidth="1"/>
    <col min="14" max="14" width="18.54296875" style="124" customWidth="1"/>
    <col min="15" max="15" width="17.1796875" style="124" customWidth="1"/>
    <col min="16" max="17" width="19" style="124" customWidth="1"/>
    <col min="18" max="16384" width="9.1796875" style="124"/>
  </cols>
  <sheetData>
    <row r="1" spans="1:18" ht="6" customHeight="1">
      <c r="A1" s="180"/>
      <c r="B1" s="47"/>
      <c r="C1" s="47"/>
      <c r="D1" s="47"/>
      <c r="E1" s="47"/>
      <c r="F1" s="47"/>
      <c r="G1" s="47"/>
      <c r="H1" s="47"/>
      <c r="I1" s="47"/>
      <c r="J1" s="47"/>
      <c r="K1" s="181"/>
      <c r="M1" s="19"/>
      <c r="N1" s="19"/>
      <c r="O1" s="19"/>
      <c r="P1" s="19"/>
      <c r="Q1" s="19"/>
      <c r="R1" s="19"/>
    </row>
    <row r="2" spans="1:18"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c r="R2" s="19"/>
    </row>
    <row r="3" spans="1:18"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c r="R3" s="19"/>
    </row>
    <row r="4" spans="1:18" s="105" customFormat="1" ht="13">
      <c r="A4" s="133"/>
      <c r="B4" s="184"/>
      <c r="C4" s="185"/>
      <c r="D4" s="141" t="str">
        <f>'Cover Sheet'!D4</f>
        <v>Period  No</v>
      </c>
      <c r="E4" s="142"/>
      <c r="F4" s="146">
        <f>'Cover Sheet'!F4</f>
        <v>27</v>
      </c>
      <c r="G4" s="142"/>
      <c r="H4" s="147"/>
      <c r="I4" s="142"/>
      <c r="J4" s="148"/>
      <c r="K4" s="383"/>
      <c r="M4" s="115"/>
      <c r="N4" s="19"/>
      <c r="O4" s="256"/>
      <c r="P4" s="19"/>
      <c r="Q4" s="115"/>
      <c r="R4" s="19"/>
    </row>
    <row r="5" spans="1:18" s="105" customFormat="1" ht="18">
      <c r="A5" s="133"/>
      <c r="B5" s="187" t="s">
        <v>164</v>
      </c>
      <c r="C5" s="149"/>
      <c r="D5" s="141" t="str">
        <f>'Cover Sheet'!D5</f>
        <v>Monthly Period</v>
      </c>
      <c r="E5" s="142"/>
      <c r="F5" s="150">
        <f>'Cover Sheet'!F5</f>
        <v>45975</v>
      </c>
      <c r="G5" s="142"/>
      <c r="H5" s="147"/>
      <c r="I5" s="142"/>
      <c r="J5" s="148"/>
      <c r="K5" s="154"/>
      <c r="M5" s="115"/>
      <c r="N5" s="19"/>
      <c r="O5" s="518"/>
      <c r="P5" s="19"/>
      <c r="Q5" s="115"/>
      <c r="R5" s="19"/>
    </row>
    <row r="6" spans="1:18"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c r="R6" s="19"/>
    </row>
    <row r="7" spans="1:18"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c r="R7" s="19"/>
    </row>
    <row r="8" spans="1:18" s="105" customFormat="1" ht="13">
      <c r="A8" s="133"/>
      <c r="B8" s="123"/>
      <c r="C8" s="123"/>
      <c r="D8" s="123"/>
      <c r="E8" s="163"/>
      <c r="F8" s="162"/>
      <c r="G8" s="163"/>
      <c r="H8" s="123"/>
      <c r="I8" s="193"/>
      <c r="J8" s="123"/>
      <c r="K8" s="154"/>
      <c r="M8" s="19"/>
      <c r="N8" s="501"/>
      <c r="O8" s="256"/>
      <c r="P8" s="501"/>
      <c r="Q8" s="19"/>
      <c r="R8" s="19"/>
    </row>
    <row r="9" spans="1:18" s="105" customFormat="1">
      <c r="A9" s="133"/>
      <c r="K9" s="139"/>
      <c r="M9" s="19"/>
      <c r="N9" s="19"/>
      <c r="O9" s="19"/>
      <c r="P9" s="19"/>
      <c r="Q9" s="19"/>
      <c r="R9" s="19"/>
    </row>
    <row r="10" spans="1:18" s="105" customFormat="1">
      <c r="A10" s="133"/>
      <c r="B10" s="123"/>
      <c r="C10" s="123"/>
      <c r="D10" s="123"/>
      <c r="E10" s="123"/>
      <c r="F10" s="129"/>
      <c r="G10" s="123"/>
      <c r="H10" s="123"/>
      <c r="I10" s="19"/>
      <c r="J10" s="19"/>
      <c r="K10" s="139"/>
      <c r="M10" s="19"/>
      <c r="N10" s="19"/>
      <c r="O10" s="199"/>
      <c r="P10" s="19"/>
      <c r="Q10" s="19"/>
      <c r="R10" s="19"/>
    </row>
    <row r="11" spans="1:18" s="105" customFormat="1" ht="18">
      <c r="A11" s="133"/>
      <c r="B11" s="195"/>
      <c r="C11" s="123"/>
      <c r="D11" s="123"/>
      <c r="E11" s="123"/>
      <c r="F11" s="19"/>
      <c r="G11" s="385"/>
      <c r="H11" s="385"/>
      <c r="I11" s="19"/>
      <c r="K11" s="139"/>
      <c r="M11" s="45"/>
      <c r="N11" s="19"/>
      <c r="O11" s="19"/>
      <c r="P11" s="386"/>
      <c r="Q11" s="386"/>
      <c r="R11" s="19"/>
    </row>
    <row r="12" spans="1:18" s="105" customFormat="1" ht="13" thickBot="1">
      <c r="A12" s="133"/>
      <c r="B12" s="123"/>
      <c r="C12" s="123"/>
      <c r="D12" s="123"/>
      <c r="E12" s="123"/>
      <c r="F12" s="19"/>
      <c r="G12" s="385"/>
      <c r="H12" s="385"/>
      <c r="I12" s="19"/>
      <c r="K12" s="139"/>
      <c r="M12" s="19"/>
      <c r="N12" s="19"/>
      <c r="O12" s="19"/>
      <c r="P12" s="386"/>
      <c r="Q12" s="386"/>
      <c r="R12" s="19"/>
    </row>
    <row r="13" spans="1:18" s="105" customFormat="1" ht="45" customHeight="1" thickBot="1">
      <c r="A13" s="133"/>
      <c r="B13" s="515"/>
      <c r="C13" s="19"/>
      <c r="D13" s="691" t="s">
        <v>68</v>
      </c>
      <c r="E13" s="685" t="s">
        <v>69</v>
      </c>
      <c r="F13" s="503" t="s">
        <v>114</v>
      </c>
      <c r="G13" s="685" t="s">
        <v>62</v>
      </c>
      <c r="H13" s="669" t="s">
        <v>115</v>
      </c>
      <c r="I13" s="199"/>
      <c r="K13" s="139"/>
      <c r="M13" s="242"/>
      <c r="N13" s="516"/>
      <c r="O13" s="241"/>
      <c r="P13" s="516"/>
      <c r="Q13" s="516"/>
      <c r="R13" s="19"/>
    </row>
    <row r="14" spans="1:18" s="105" customFormat="1">
      <c r="A14" s="133"/>
      <c r="B14" s="198"/>
      <c r="C14" s="198"/>
      <c r="D14" s="686" t="s">
        <v>645</v>
      </c>
      <c r="E14" s="687">
        <f t="shared" ref="E14:E45" si="0">VLOOKUP(CONCATENATE("OPB_",D14),Assets_Daten,3,0)</f>
        <v>684199.27000000048</v>
      </c>
      <c r="F14" s="688">
        <f>E14/$E$65</f>
        <v>9.4483066350609937E-4</v>
      </c>
      <c r="G14" s="689">
        <f t="shared" ref="G14:G45" si="1">VLOOKUP(CONCATENATE("OPB_",D14),Assets_Daten,2,0)</f>
        <v>519</v>
      </c>
      <c r="H14" s="690">
        <f>G14/$G$65</f>
        <v>1.4539851519820703E-2</v>
      </c>
      <c r="I14" s="199"/>
      <c r="K14" s="139"/>
      <c r="M14" s="223"/>
      <c r="N14" s="12"/>
      <c r="O14" s="224"/>
      <c r="P14" s="225"/>
      <c r="Q14" s="224"/>
      <c r="R14" s="19"/>
    </row>
    <row r="15" spans="1:18">
      <c r="A15" s="206"/>
      <c r="B15" s="13"/>
      <c r="C15" s="12"/>
      <c r="D15" s="686" t="s">
        <v>646</v>
      </c>
      <c r="E15" s="687">
        <f t="shared" si="0"/>
        <v>6626179.8199999835</v>
      </c>
      <c r="F15" s="688">
        <f t="shared" ref="F15:F64" si="2">E15/$E$65</f>
        <v>9.1502843547922891E-3</v>
      </c>
      <c r="G15" s="689">
        <f t="shared" si="1"/>
        <v>2309</v>
      </c>
      <c r="H15" s="690">
        <f t="shared" ref="H15:H64" si="3">G15/$G$65</f>
        <v>6.4686930942709067E-2</v>
      </c>
      <c r="I15" s="199"/>
      <c r="K15" s="200"/>
      <c r="M15" s="223"/>
      <c r="N15" s="12"/>
      <c r="O15" s="224"/>
      <c r="P15" s="225"/>
      <c r="Q15" s="224"/>
      <c r="R15" s="19"/>
    </row>
    <row r="16" spans="1:18">
      <c r="A16" s="206"/>
      <c r="B16" s="13"/>
      <c r="C16" s="12"/>
      <c r="D16" s="686" t="s">
        <v>647</v>
      </c>
      <c r="E16" s="687">
        <f t="shared" si="0"/>
        <v>16525858.250000188</v>
      </c>
      <c r="F16" s="688">
        <f t="shared" si="2"/>
        <v>2.2821038109782567E-2</v>
      </c>
      <c r="G16" s="689">
        <f t="shared" si="1"/>
        <v>3369</v>
      </c>
      <c r="H16" s="690">
        <f t="shared" si="3"/>
        <v>9.4382966802073115E-2</v>
      </c>
      <c r="I16" s="199"/>
      <c r="K16" s="200"/>
      <c r="M16" s="223"/>
      <c r="N16" s="12"/>
      <c r="O16" s="224"/>
      <c r="P16" s="225"/>
      <c r="Q16" s="224"/>
      <c r="R16" s="19"/>
    </row>
    <row r="17" spans="1:18">
      <c r="A17" s="206"/>
      <c r="B17" s="13"/>
      <c r="C17" s="12"/>
      <c r="D17" s="686" t="s">
        <v>648</v>
      </c>
      <c r="E17" s="687">
        <f t="shared" si="0"/>
        <v>21912238.250000142</v>
      </c>
      <c r="F17" s="688">
        <f t="shared" si="2"/>
        <v>3.0259246848730704E-2</v>
      </c>
      <c r="G17" s="689">
        <f t="shared" si="1"/>
        <v>3162</v>
      </c>
      <c r="H17" s="690">
        <f t="shared" si="3"/>
        <v>8.8583835271046366E-2</v>
      </c>
      <c r="I17" s="199"/>
      <c r="K17" s="200"/>
      <c r="M17" s="223"/>
      <c r="N17" s="12"/>
      <c r="O17" s="224"/>
      <c r="P17" s="225"/>
      <c r="Q17" s="224"/>
      <c r="R17" s="19"/>
    </row>
    <row r="18" spans="1:18">
      <c r="A18" s="206"/>
      <c r="B18" s="13"/>
      <c r="C18" s="12"/>
      <c r="D18" s="686" t="s">
        <v>649</v>
      </c>
      <c r="E18" s="687">
        <f t="shared" si="0"/>
        <v>20140378.580000062</v>
      </c>
      <c r="F18" s="688">
        <f t="shared" si="2"/>
        <v>2.7812434317571657E-2</v>
      </c>
      <c r="G18" s="689">
        <f t="shared" si="1"/>
        <v>2285</v>
      </c>
      <c r="H18" s="690">
        <f t="shared" si="3"/>
        <v>6.4014567866647984E-2</v>
      </c>
      <c r="I18" s="199"/>
      <c r="K18" s="200"/>
      <c r="M18" s="223"/>
      <c r="N18" s="12"/>
      <c r="O18" s="224"/>
      <c r="P18" s="225"/>
      <c r="Q18" s="224"/>
      <c r="R18" s="19"/>
    </row>
    <row r="19" spans="1:18">
      <c r="A19" s="206"/>
      <c r="B19" s="13"/>
      <c r="C19" s="12"/>
      <c r="D19" s="686" t="s">
        <v>650</v>
      </c>
      <c r="E19" s="687">
        <f t="shared" si="0"/>
        <v>33273390.980000079</v>
      </c>
      <c r="F19" s="688">
        <f t="shared" si="2"/>
        <v>4.5948192953686302E-2</v>
      </c>
      <c r="G19" s="689">
        <f t="shared" si="1"/>
        <v>3135</v>
      </c>
      <c r="H19" s="690">
        <f t="shared" si="3"/>
        <v>8.7827426810477657E-2</v>
      </c>
      <c r="I19" s="199"/>
      <c r="K19" s="200"/>
      <c r="M19" s="223"/>
      <c r="N19" s="12"/>
      <c r="O19" s="224"/>
      <c r="P19" s="225"/>
      <c r="Q19" s="224"/>
      <c r="R19" s="19"/>
    </row>
    <row r="20" spans="1:18">
      <c r="A20" s="206"/>
      <c r="B20" s="13"/>
      <c r="C20" s="12"/>
      <c r="D20" s="686" t="s">
        <v>651</v>
      </c>
      <c r="E20" s="687">
        <f t="shared" si="0"/>
        <v>25022623.310000002</v>
      </c>
      <c r="F20" s="688">
        <f t="shared" si="2"/>
        <v>3.4554468005571638E-2</v>
      </c>
      <c r="G20" s="689">
        <f t="shared" si="1"/>
        <v>1949</v>
      </c>
      <c r="H20" s="690">
        <f t="shared" si="3"/>
        <v>5.4601484801792971E-2</v>
      </c>
      <c r="I20" s="199"/>
      <c r="K20" s="200"/>
      <c r="M20" s="223"/>
      <c r="N20" s="12"/>
      <c r="O20" s="224"/>
      <c r="P20" s="225"/>
      <c r="Q20" s="224"/>
      <c r="R20" s="19"/>
    </row>
    <row r="21" spans="1:18">
      <c r="A21" s="206"/>
      <c r="B21" s="13"/>
      <c r="C21" s="12"/>
      <c r="D21" s="125" t="s">
        <v>652</v>
      </c>
      <c r="E21" s="687">
        <f t="shared" si="0"/>
        <v>32489780.370000023</v>
      </c>
      <c r="F21" s="688">
        <f t="shared" si="2"/>
        <v>4.486608228061182E-2</v>
      </c>
      <c r="G21" s="689">
        <f t="shared" si="1"/>
        <v>2157</v>
      </c>
      <c r="H21" s="690">
        <f t="shared" si="3"/>
        <v>6.0428631460988931E-2</v>
      </c>
      <c r="I21" s="199"/>
      <c r="K21" s="200"/>
      <c r="M21" s="223"/>
      <c r="N21" s="12"/>
      <c r="O21" s="224"/>
      <c r="P21" s="225"/>
      <c r="Q21" s="224"/>
      <c r="R21" s="19"/>
    </row>
    <row r="22" spans="1:18">
      <c r="A22" s="206"/>
      <c r="B22" s="13"/>
      <c r="C22" s="12"/>
      <c r="D22" s="686" t="s">
        <v>653</v>
      </c>
      <c r="E22" s="687">
        <f t="shared" si="0"/>
        <v>23511056.230000027</v>
      </c>
      <c r="F22" s="688">
        <f t="shared" si="2"/>
        <v>3.2467101079368468E-2</v>
      </c>
      <c r="G22" s="689">
        <f t="shared" si="1"/>
        <v>1388</v>
      </c>
      <c r="H22" s="690">
        <f t="shared" si="3"/>
        <v>3.8884997898865389E-2</v>
      </c>
      <c r="I22" s="199"/>
      <c r="K22" s="200"/>
      <c r="M22" s="223"/>
      <c r="N22" s="12"/>
      <c r="O22" s="224"/>
      <c r="P22" s="225"/>
      <c r="Q22" s="224"/>
      <c r="R22" s="19"/>
    </row>
    <row r="23" spans="1:18">
      <c r="A23" s="206"/>
      <c r="B23" s="13"/>
      <c r="C23" s="12"/>
      <c r="D23" s="686" t="s">
        <v>654</v>
      </c>
      <c r="E23" s="687">
        <f t="shared" si="0"/>
        <v>24333309.240000062</v>
      </c>
      <c r="F23" s="688">
        <f t="shared" si="2"/>
        <v>3.3602574166044258E-2</v>
      </c>
      <c r="G23" s="689">
        <f t="shared" si="1"/>
        <v>1289</v>
      </c>
      <c r="H23" s="690">
        <f t="shared" si="3"/>
        <v>3.6111500210113459E-2</v>
      </c>
      <c r="I23" s="199"/>
      <c r="K23" s="200"/>
      <c r="M23" s="223"/>
      <c r="N23" s="12"/>
      <c r="O23" s="224"/>
      <c r="P23" s="225"/>
      <c r="Q23" s="224"/>
      <c r="R23" s="19"/>
    </row>
    <row r="24" spans="1:18">
      <c r="A24" s="206"/>
      <c r="B24" s="13"/>
      <c r="C24" s="12"/>
      <c r="D24" s="686" t="s">
        <v>655</v>
      </c>
      <c r="E24" s="687">
        <f t="shared" si="0"/>
        <v>39591395.119999699</v>
      </c>
      <c r="F24" s="688">
        <f t="shared" si="2"/>
        <v>5.4672908552447642E-2</v>
      </c>
      <c r="G24" s="689">
        <f t="shared" si="1"/>
        <v>1916</v>
      </c>
      <c r="H24" s="690">
        <f t="shared" si="3"/>
        <v>5.3676985572208992E-2</v>
      </c>
      <c r="I24" s="199"/>
      <c r="K24" s="200"/>
      <c r="M24" s="223"/>
      <c r="N24" s="12"/>
      <c r="O24" s="224"/>
      <c r="P24" s="225"/>
      <c r="Q24" s="224"/>
      <c r="R24" s="19"/>
    </row>
    <row r="25" spans="1:18">
      <c r="A25" s="206"/>
      <c r="B25" s="13"/>
      <c r="C25" s="12"/>
      <c r="D25" s="686" t="s">
        <v>656</v>
      </c>
      <c r="E25" s="687">
        <f t="shared" si="0"/>
        <v>23095476.719999991</v>
      </c>
      <c r="F25" s="688">
        <f t="shared" si="2"/>
        <v>3.1893215251964896E-2</v>
      </c>
      <c r="G25" s="689">
        <f t="shared" si="1"/>
        <v>1007</v>
      </c>
      <c r="H25" s="690">
        <f t="shared" si="3"/>
        <v>2.8211234066395852E-2</v>
      </c>
      <c r="I25" s="199"/>
      <c r="K25" s="200"/>
      <c r="M25" s="223"/>
      <c r="N25" s="12"/>
      <c r="O25" s="224"/>
      <c r="P25" s="225"/>
      <c r="Q25" s="224"/>
      <c r="R25" s="19"/>
    </row>
    <row r="26" spans="1:18">
      <c r="A26" s="206"/>
      <c r="B26" s="13"/>
      <c r="C26" s="12"/>
      <c r="D26" s="686" t="s">
        <v>657</v>
      </c>
      <c r="E26" s="687">
        <f t="shared" si="0"/>
        <v>30523264.380000025</v>
      </c>
      <c r="F26" s="688">
        <f t="shared" si="2"/>
        <v>4.2150463177967862E-2</v>
      </c>
      <c r="G26" s="689">
        <f t="shared" si="1"/>
        <v>1226</v>
      </c>
      <c r="H26" s="690">
        <f t="shared" si="3"/>
        <v>3.4346547135453147E-2</v>
      </c>
      <c r="I26" s="199"/>
      <c r="K26" s="200"/>
      <c r="M26" s="223"/>
      <c r="N26" s="12"/>
      <c r="O26" s="224"/>
      <c r="P26" s="225"/>
      <c r="Q26" s="224"/>
      <c r="R26" s="19"/>
    </row>
    <row r="27" spans="1:18">
      <c r="A27" s="206"/>
      <c r="B27" s="13"/>
      <c r="C27" s="12"/>
      <c r="D27" s="686" t="s">
        <v>658</v>
      </c>
      <c r="E27" s="687">
        <f t="shared" si="0"/>
        <v>27556345.120000061</v>
      </c>
      <c r="F27" s="688">
        <f t="shared" si="2"/>
        <v>3.8053358115293957E-2</v>
      </c>
      <c r="G27" s="689">
        <f t="shared" si="1"/>
        <v>1028</v>
      </c>
      <c r="H27" s="690">
        <f t="shared" si="3"/>
        <v>2.8799551757949293E-2</v>
      </c>
      <c r="I27" s="199"/>
      <c r="K27" s="200"/>
      <c r="M27" s="223"/>
      <c r="N27" s="12"/>
      <c r="O27" s="224"/>
      <c r="P27" s="225"/>
      <c r="Q27" s="224"/>
      <c r="R27" s="19"/>
    </row>
    <row r="28" spans="1:18">
      <c r="A28" s="206"/>
      <c r="B28" s="13"/>
      <c r="C28" s="12"/>
      <c r="D28" s="686" t="s">
        <v>659</v>
      </c>
      <c r="E28" s="687">
        <f t="shared" si="0"/>
        <v>22509439.180000011</v>
      </c>
      <c r="F28" s="688">
        <f t="shared" si="2"/>
        <v>3.1083938975248516E-2</v>
      </c>
      <c r="G28" s="689">
        <f t="shared" si="1"/>
        <v>779</v>
      </c>
      <c r="H28" s="690">
        <f t="shared" si="3"/>
        <v>2.1823784843815662E-2</v>
      </c>
      <c r="I28" s="199"/>
      <c r="K28" s="200"/>
      <c r="M28" s="223"/>
      <c r="N28" s="12"/>
      <c r="O28" s="224"/>
      <c r="P28" s="225"/>
      <c r="Q28" s="224"/>
      <c r="R28" s="19"/>
    </row>
    <row r="29" spans="1:18">
      <c r="A29" s="206"/>
      <c r="B29" s="13"/>
      <c r="C29" s="12"/>
      <c r="D29" s="686" t="s">
        <v>660</v>
      </c>
      <c r="E29" s="687">
        <f t="shared" si="0"/>
        <v>34271463.809999824</v>
      </c>
      <c r="F29" s="688">
        <f t="shared" si="2"/>
        <v>4.7326460741367614E-2</v>
      </c>
      <c r="G29" s="689">
        <f t="shared" si="1"/>
        <v>1116</v>
      </c>
      <c r="H29" s="690">
        <f t="shared" si="3"/>
        <v>3.1264883036839893E-2</v>
      </c>
      <c r="I29" s="199"/>
      <c r="K29" s="200"/>
      <c r="M29" s="223"/>
      <c r="N29" s="12"/>
      <c r="O29" s="224"/>
      <c r="P29" s="225"/>
      <c r="Q29" s="224"/>
      <c r="R29" s="19"/>
    </row>
    <row r="30" spans="1:18">
      <c r="A30" s="206"/>
      <c r="B30" s="13"/>
      <c r="C30" s="12"/>
      <c r="D30" s="686" t="s">
        <v>661</v>
      </c>
      <c r="E30" s="687">
        <f t="shared" si="0"/>
        <v>20028825.09999999</v>
      </c>
      <c r="F30" s="688">
        <f t="shared" si="2"/>
        <v>2.765838687387169E-2</v>
      </c>
      <c r="G30" s="689">
        <f t="shared" si="1"/>
        <v>608</v>
      </c>
      <c r="H30" s="690">
        <f t="shared" si="3"/>
        <v>1.7033197926880517E-2</v>
      </c>
      <c r="I30" s="199"/>
      <c r="J30" s="199"/>
      <c r="K30" s="200"/>
      <c r="M30" s="223"/>
      <c r="N30" s="12"/>
      <c r="O30" s="224"/>
      <c r="P30" s="225"/>
      <c r="Q30" s="224"/>
      <c r="R30" s="19"/>
    </row>
    <row r="31" spans="1:18">
      <c r="A31" s="206"/>
      <c r="B31" s="13"/>
      <c r="C31" s="12"/>
      <c r="D31" s="686" t="s">
        <v>662</v>
      </c>
      <c r="E31" s="687">
        <f t="shared" si="0"/>
        <v>22671294.899999995</v>
      </c>
      <c r="F31" s="688">
        <f t="shared" si="2"/>
        <v>3.1307450244589453E-2</v>
      </c>
      <c r="G31" s="689">
        <f t="shared" si="1"/>
        <v>649</v>
      </c>
      <c r="H31" s="690">
        <f t="shared" si="3"/>
        <v>1.8181818181818181E-2</v>
      </c>
      <c r="I31" s="199"/>
      <c r="J31" s="199"/>
      <c r="K31" s="200"/>
      <c r="M31" s="223"/>
      <c r="N31" s="12"/>
      <c r="O31" s="224"/>
      <c r="P31" s="225"/>
      <c r="Q31" s="224"/>
      <c r="R31" s="19"/>
    </row>
    <row r="32" spans="1:18">
      <c r="A32" s="206"/>
      <c r="B32" s="13"/>
      <c r="C32" s="12"/>
      <c r="D32" s="686" t="s">
        <v>663</v>
      </c>
      <c r="E32" s="687">
        <f t="shared" si="0"/>
        <v>22604640.139999956</v>
      </c>
      <c r="F32" s="688">
        <f t="shared" si="2"/>
        <v>3.121540474866737E-2</v>
      </c>
      <c r="G32" s="689">
        <f t="shared" si="1"/>
        <v>613</v>
      </c>
      <c r="H32" s="690">
        <f t="shared" si="3"/>
        <v>1.7173273567726573E-2</v>
      </c>
      <c r="I32" s="199"/>
      <c r="J32" s="199"/>
      <c r="K32" s="200"/>
      <c r="M32" s="223"/>
      <c r="N32" s="12"/>
      <c r="O32" s="224"/>
      <c r="P32" s="225"/>
      <c r="Q32" s="224"/>
      <c r="R32" s="19"/>
    </row>
    <row r="33" spans="1:18">
      <c r="A33" s="206"/>
      <c r="B33" s="13"/>
      <c r="C33" s="12"/>
      <c r="D33" s="686" t="s">
        <v>664</v>
      </c>
      <c r="E33" s="687">
        <f t="shared" si="0"/>
        <v>16940835.870000001</v>
      </c>
      <c r="F33" s="688">
        <f t="shared" si="2"/>
        <v>2.339409276978623E-2</v>
      </c>
      <c r="G33" s="689">
        <f t="shared" si="1"/>
        <v>435</v>
      </c>
      <c r="H33" s="690">
        <f t="shared" si="3"/>
        <v>1.2186580753606948E-2</v>
      </c>
      <c r="I33" s="199"/>
      <c r="J33" s="199"/>
      <c r="K33" s="200"/>
      <c r="M33" s="223"/>
      <c r="N33" s="12"/>
      <c r="O33" s="224"/>
      <c r="P33" s="225"/>
      <c r="Q33" s="224"/>
      <c r="R33" s="19"/>
    </row>
    <row r="34" spans="1:18">
      <c r="A34" s="206"/>
      <c r="B34" s="13"/>
      <c r="C34" s="12"/>
      <c r="D34" s="686" t="s">
        <v>665</v>
      </c>
      <c r="E34" s="687">
        <f t="shared" si="0"/>
        <v>28003295.709999938</v>
      </c>
      <c r="F34" s="688">
        <f t="shared" si="2"/>
        <v>3.8670565179113284E-2</v>
      </c>
      <c r="G34" s="689">
        <f t="shared" si="1"/>
        <v>686</v>
      </c>
      <c r="H34" s="690">
        <f t="shared" si="3"/>
        <v>1.9218377924079003E-2</v>
      </c>
      <c r="I34" s="199"/>
      <c r="J34" s="199"/>
      <c r="K34" s="200"/>
      <c r="M34" s="223"/>
      <c r="N34" s="12"/>
      <c r="O34" s="224"/>
      <c r="P34" s="225"/>
      <c r="Q34" s="224"/>
      <c r="R34" s="19"/>
    </row>
    <row r="35" spans="1:18">
      <c r="A35" s="206"/>
      <c r="B35" s="13"/>
      <c r="C35" s="12"/>
      <c r="D35" s="686" t="s">
        <v>666</v>
      </c>
      <c r="E35" s="687">
        <f t="shared" si="0"/>
        <v>16707650.690000007</v>
      </c>
      <c r="F35" s="688">
        <f t="shared" si="2"/>
        <v>2.3072080575386806E-2</v>
      </c>
      <c r="G35" s="689">
        <f t="shared" si="1"/>
        <v>389</v>
      </c>
      <c r="H35" s="690">
        <f t="shared" si="3"/>
        <v>1.0897884857823224E-2</v>
      </c>
      <c r="I35" s="199"/>
      <c r="J35" s="199"/>
      <c r="K35" s="200"/>
      <c r="M35" s="223"/>
      <c r="N35" s="12"/>
      <c r="O35" s="224"/>
      <c r="P35" s="225"/>
      <c r="Q35" s="224"/>
      <c r="R35" s="19"/>
    </row>
    <row r="36" spans="1:18">
      <c r="A36" s="206"/>
      <c r="B36" s="13"/>
      <c r="C36" s="12"/>
      <c r="D36" s="686" t="s">
        <v>667</v>
      </c>
      <c r="E36" s="687">
        <f t="shared" si="0"/>
        <v>17344387.779999994</v>
      </c>
      <c r="F36" s="688">
        <f t="shared" si="2"/>
        <v>2.3951369334674184E-2</v>
      </c>
      <c r="G36" s="689">
        <f t="shared" si="1"/>
        <v>386</v>
      </c>
      <c r="H36" s="690">
        <f t="shared" si="3"/>
        <v>1.081383947331559E-2</v>
      </c>
      <c r="I36" s="199"/>
      <c r="J36" s="199"/>
      <c r="K36" s="200"/>
      <c r="M36" s="223"/>
      <c r="N36" s="12"/>
      <c r="O36" s="224"/>
      <c r="P36" s="225"/>
      <c r="Q36" s="224"/>
      <c r="R36" s="19"/>
    </row>
    <row r="37" spans="1:18">
      <c r="A37" s="206"/>
      <c r="B37" s="13"/>
      <c r="C37" s="12"/>
      <c r="D37" s="686" t="s">
        <v>668</v>
      </c>
      <c r="E37" s="687">
        <f t="shared" si="0"/>
        <v>14917639.369999981</v>
      </c>
      <c r="F37" s="688">
        <f t="shared" si="2"/>
        <v>2.060020190302422E-2</v>
      </c>
      <c r="G37" s="689">
        <f t="shared" si="1"/>
        <v>318</v>
      </c>
      <c r="H37" s="690">
        <f t="shared" si="3"/>
        <v>8.9088107578092178E-3</v>
      </c>
      <c r="I37" s="199"/>
      <c r="J37" s="199"/>
      <c r="K37" s="200"/>
      <c r="M37" s="223"/>
      <c r="N37" s="12"/>
      <c r="O37" s="224"/>
      <c r="P37" s="225"/>
      <c r="Q37" s="224"/>
      <c r="R37" s="19"/>
    </row>
    <row r="38" spans="1:18">
      <c r="A38" s="206"/>
      <c r="B38" s="13"/>
      <c r="C38" s="12"/>
      <c r="D38" s="686" t="s">
        <v>669</v>
      </c>
      <c r="E38" s="687">
        <f t="shared" si="0"/>
        <v>13742336.550000001</v>
      </c>
      <c r="F38" s="688">
        <f t="shared" si="2"/>
        <v>1.8977192069586118E-2</v>
      </c>
      <c r="G38" s="689">
        <f t="shared" si="1"/>
        <v>281</v>
      </c>
      <c r="H38" s="690">
        <f t="shared" si="3"/>
        <v>7.8722510155483962E-3</v>
      </c>
      <c r="I38" s="199"/>
      <c r="J38" s="199"/>
      <c r="K38" s="200"/>
      <c r="M38" s="223"/>
      <c r="N38" s="12"/>
      <c r="O38" s="224"/>
      <c r="P38" s="225"/>
      <c r="Q38" s="224"/>
      <c r="R38" s="19"/>
    </row>
    <row r="39" spans="1:18">
      <c r="A39" s="206"/>
      <c r="B39" s="13"/>
      <c r="C39" s="12"/>
      <c r="D39" s="686" t="s">
        <v>670</v>
      </c>
      <c r="E39" s="687">
        <f t="shared" si="0"/>
        <v>21773547.749999996</v>
      </c>
      <c r="F39" s="688">
        <f t="shared" si="2"/>
        <v>3.0067725105164492E-2</v>
      </c>
      <c r="G39" s="689">
        <f t="shared" si="1"/>
        <v>432</v>
      </c>
      <c r="H39" s="690">
        <f t="shared" si="3"/>
        <v>1.2102535369099313E-2</v>
      </c>
      <c r="I39" s="199"/>
      <c r="J39" s="199"/>
      <c r="K39" s="200"/>
      <c r="M39" s="223"/>
      <c r="N39" s="12"/>
      <c r="O39" s="224"/>
      <c r="P39" s="225"/>
      <c r="Q39" s="224"/>
      <c r="R39" s="19"/>
    </row>
    <row r="40" spans="1:18">
      <c r="A40" s="206"/>
      <c r="B40" s="13"/>
      <c r="C40" s="12"/>
      <c r="D40" s="686" t="s">
        <v>671</v>
      </c>
      <c r="E40" s="687">
        <f t="shared" si="0"/>
        <v>15521851.580000022</v>
      </c>
      <c r="F40" s="688">
        <f t="shared" si="2"/>
        <v>2.143457610993155E-2</v>
      </c>
      <c r="G40" s="689">
        <f t="shared" si="1"/>
        <v>294</v>
      </c>
      <c r="H40" s="690">
        <f t="shared" si="3"/>
        <v>8.2364476817481432E-3</v>
      </c>
      <c r="I40" s="199"/>
      <c r="J40" s="19"/>
      <c r="K40" s="200"/>
      <c r="M40" s="223"/>
      <c r="N40" s="12"/>
      <c r="O40" s="224"/>
      <c r="P40" s="225"/>
      <c r="Q40" s="224"/>
      <c r="R40" s="19"/>
    </row>
    <row r="41" spans="1:18">
      <c r="A41" s="206"/>
      <c r="B41" s="13"/>
      <c r="C41" s="12"/>
      <c r="D41" s="686" t="s">
        <v>672</v>
      </c>
      <c r="E41" s="687">
        <f t="shared" si="0"/>
        <v>13256179.27</v>
      </c>
      <c r="F41" s="688">
        <f t="shared" si="2"/>
        <v>1.8305843347698823E-2</v>
      </c>
      <c r="G41" s="689">
        <f t="shared" si="1"/>
        <v>241</v>
      </c>
      <c r="H41" s="690">
        <f t="shared" si="3"/>
        <v>6.7516458887799408E-3</v>
      </c>
      <c r="I41" s="199"/>
      <c r="J41" s="19"/>
      <c r="K41" s="200"/>
      <c r="M41" s="223"/>
      <c r="N41" s="12"/>
      <c r="O41" s="224"/>
      <c r="P41" s="225"/>
      <c r="Q41" s="224"/>
      <c r="R41" s="19"/>
    </row>
    <row r="42" spans="1:18">
      <c r="A42" s="206"/>
      <c r="B42" s="13"/>
      <c r="C42" s="12"/>
      <c r="D42" s="686" t="s">
        <v>673</v>
      </c>
      <c r="E42" s="687">
        <f t="shared" si="0"/>
        <v>10593398.299999988</v>
      </c>
      <c r="F42" s="688">
        <f t="shared" si="2"/>
        <v>1.4628731691826222E-2</v>
      </c>
      <c r="G42" s="689">
        <f t="shared" si="1"/>
        <v>186</v>
      </c>
      <c r="H42" s="690">
        <f t="shared" si="3"/>
        <v>5.2108138394733154E-3</v>
      </c>
      <c r="I42" s="199"/>
      <c r="J42" s="19"/>
      <c r="K42" s="200"/>
      <c r="M42" s="223"/>
      <c r="N42" s="12"/>
      <c r="O42" s="224"/>
      <c r="P42" s="225"/>
      <c r="Q42" s="224"/>
      <c r="R42" s="19"/>
    </row>
    <row r="43" spans="1:18">
      <c r="A43" s="206"/>
      <c r="B43" s="13"/>
      <c r="C43" s="12"/>
      <c r="D43" s="686" t="s">
        <v>674</v>
      </c>
      <c r="E43" s="687">
        <f t="shared" si="0"/>
        <v>7355038.169999999</v>
      </c>
      <c r="F43" s="688">
        <f t="shared" si="2"/>
        <v>1.015678604023325E-2</v>
      </c>
      <c r="G43" s="689">
        <f t="shared" si="1"/>
        <v>125</v>
      </c>
      <c r="H43" s="690">
        <f t="shared" si="3"/>
        <v>3.5018910211514218E-3</v>
      </c>
      <c r="I43" s="199"/>
      <c r="J43" s="19"/>
      <c r="K43" s="200"/>
      <c r="M43" s="223"/>
      <c r="N43" s="12"/>
      <c r="O43" s="224"/>
      <c r="P43" s="225"/>
      <c r="Q43" s="224"/>
      <c r="R43" s="19"/>
    </row>
    <row r="44" spans="1:18">
      <c r="A44" s="206"/>
      <c r="B44" s="13"/>
      <c r="C44" s="12"/>
      <c r="D44" s="686" t="s">
        <v>675</v>
      </c>
      <c r="E44" s="687">
        <f t="shared" si="0"/>
        <v>13319781.74</v>
      </c>
      <c r="F44" s="688">
        <f t="shared" si="2"/>
        <v>1.8393673847621347E-2</v>
      </c>
      <c r="G44" s="689">
        <f t="shared" si="1"/>
        <v>220</v>
      </c>
      <c r="H44" s="690">
        <f t="shared" si="3"/>
        <v>6.1633281972265025E-3</v>
      </c>
      <c r="I44" s="199"/>
      <c r="J44" s="19"/>
      <c r="K44" s="200"/>
      <c r="M44" s="223"/>
      <c r="N44" s="12"/>
      <c r="O44" s="224"/>
      <c r="P44" s="225"/>
      <c r="Q44" s="224"/>
      <c r="R44" s="19"/>
    </row>
    <row r="45" spans="1:18" s="105" customFormat="1" ht="12.75" customHeight="1">
      <c r="A45" s="133"/>
      <c r="B45" s="13"/>
      <c r="C45" s="12"/>
      <c r="D45" s="686" t="s">
        <v>676</v>
      </c>
      <c r="E45" s="687">
        <f t="shared" si="0"/>
        <v>9559634.8500000071</v>
      </c>
      <c r="F45" s="688">
        <f t="shared" si="2"/>
        <v>1.3201177689361654E-2</v>
      </c>
      <c r="G45" s="689">
        <f t="shared" si="1"/>
        <v>152</v>
      </c>
      <c r="H45" s="690">
        <f t="shared" si="3"/>
        <v>4.2582994817201292E-3</v>
      </c>
      <c r="I45" s="129"/>
      <c r="J45" s="123"/>
      <c r="K45" s="139"/>
      <c r="M45" s="223"/>
      <c r="N45" s="12"/>
      <c r="O45" s="224"/>
      <c r="P45" s="225"/>
      <c r="Q45" s="224"/>
      <c r="R45" s="19"/>
    </row>
    <row r="46" spans="1:18" s="105" customFormat="1">
      <c r="A46" s="133"/>
      <c r="B46" s="13"/>
      <c r="C46" s="12"/>
      <c r="D46" s="686" t="s">
        <v>677</v>
      </c>
      <c r="E46" s="687">
        <f t="shared" ref="E46:E64" si="4">VLOOKUP(CONCATENATE("OPB_",D46),Assets_Daten,3,0)</f>
        <v>9226388.5700000003</v>
      </c>
      <c r="F46" s="688">
        <f t="shared" si="2"/>
        <v>1.2740988212919585E-2</v>
      </c>
      <c r="G46" s="689">
        <f t="shared" ref="G46:G64" si="5">VLOOKUP(CONCATENATE("OPB_",D46),Assets_Daten,2,0)</f>
        <v>142</v>
      </c>
      <c r="H46" s="690">
        <f t="shared" si="3"/>
        <v>3.9781482000280149E-3</v>
      </c>
      <c r="I46" s="129"/>
      <c r="J46" s="123"/>
      <c r="K46" s="139"/>
      <c r="M46" s="223"/>
      <c r="N46" s="12"/>
      <c r="O46" s="224"/>
      <c r="P46" s="225"/>
      <c r="Q46" s="224"/>
      <c r="R46" s="19"/>
    </row>
    <row r="47" spans="1:18">
      <c r="A47" s="206"/>
      <c r="B47" s="13"/>
      <c r="C47" s="12"/>
      <c r="D47" s="686" t="s">
        <v>678</v>
      </c>
      <c r="E47" s="687">
        <f t="shared" si="4"/>
        <v>5770944.6400000015</v>
      </c>
      <c r="F47" s="688">
        <f t="shared" si="2"/>
        <v>7.969265230680771E-3</v>
      </c>
      <c r="G47" s="689">
        <f t="shared" si="5"/>
        <v>86</v>
      </c>
      <c r="H47" s="690">
        <f t="shared" si="3"/>
        <v>2.409301022552178E-3</v>
      </c>
      <c r="I47" s="199"/>
      <c r="J47" s="19"/>
      <c r="K47" s="200"/>
      <c r="M47" s="223"/>
      <c r="N47" s="12"/>
      <c r="O47" s="224"/>
      <c r="P47" s="225"/>
      <c r="Q47" s="224"/>
      <c r="R47" s="19"/>
    </row>
    <row r="48" spans="1:18">
      <c r="A48" s="206"/>
      <c r="B48" s="13"/>
      <c r="C48" s="12"/>
      <c r="D48" s="686" t="s">
        <v>679</v>
      </c>
      <c r="E48" s="687">
        <f t="shared" si="4"/>
        <v>7651258.0999999978</v>
      </c>
      <c r="F48" s="688">
        <f t="shared" si="2"/>
        <v>1.0565844753502016E-2</v>
      </c>
      <c r="G48" s="689">
        <f t="shared" si="5"/>
        <v>111</v>
      </c>
      <c r="H48" s="690">
        <f t="shared" si="3"/>
        <v>3.1096792267824623E-3</v>
      </c>
      <c r="I48" s="199"/>
      <c r="J48" s="19"/>
      <c r="K48" s="200"/>
      <c r="M48" s="223"/>
      <c r="N48" s="12"/>
      <c r="O48" s="224"/>
      <c r="P48" s="225"/>
      <c r="Q48" s="224"/>
      <c r="R48" s="19"/>
    </row>
    <row r="49" spans="1:18">
      <c r="A49" s="206"/>
      <c r="B49" s="13"/>
      <c r="C49" s="12"/>
      <c r="D49" s="686" t="s">
        <v>680</v>
      </c>
      <c r="E49" s="687">
        <f t="shared" si="4"/>
        <v>7774317.2800000003</v>
      </c>
      <c r="F49" s="688">
        <f t="shared" si="2"/>
        <v>1.0735780752834373E-2</v>
      </c>
      <c r="G49" s="689">
        <f t="shared" si="5"/>
        <v>110</v>
      </c>
      <c r="H49" s="690">
        <f t="shared" si="3"/>
        <v>3.0816640986132513E-3</v>
      </c>
      <c r="I49" s="199"/>
      <c r="J49" s="19"/>
      <c r="K49" s="200"/>
      <c r="M49" s="223"/>
      <c r="N49" s="12"/>
      <c r="O49" s="224"/>
      <c r="P49" s="225"/>
      <c r="Q49" s="224"/>
      <c r="R49" s="19"/>
    </row>
    <row r="50" spans="1:18">
      <c r="A50" s="206"/>
      <c r="B50" s="13"/>
      <c r="C50" s="12"/>
      <c r="D50" s="686" t="s">
        <v>681</v>
      </c>
      <c r="E50" s="687">
        <f t="shared" si="4"/>
        <v>7512278.4999999981</v>
      </c>
      <c r="F50" s="688">
        <f t="shared" si="2"/>
        <v>1.0373923783341069E-2</v>
      </c>
      <c r="G50" s="689">
        <f t="shared" si="5"/>
        <v>103</v>
      </c>
      <c r="H50" s="690">
        <f t="shared" si="3"/>
        <v>2.8855582014287715E-3</v>
      </c>
      <c r="I50" s="199"/>
      <c r="J50" s="19"/>
      <c r="K50" s="200"/>
      <c r="M50" s="223"/>
      <c r="N50" s="12"/>
      <c r="O50" s="224"/>
      <c r="P50" s="225"/>
      <c r="Q50" s="224"/>
      <c r="R50" s="19"/>
    </row>
    <row r="51" spans="1:18">
      <c r="A51" s="206"/>
      <c r="B51" s="13"/>
      <c r="C51" s="12"/>
      <c r="D51" s="686" t="s">
        <v>682</v>
      </c>
      <c r="E51" s="687">
        <f t="shared" si="4"/>
        <v>12138887</v>
      </c>
      <c r="F51" s="688">
        <f t="shared" si="2"/>
        <v>1.6762941969282654E-2</v>
      </c>
      <c r="G51" s="689">
        <f t="shared" si="5"/>
        <v>162</v>
      </c>
      <c r="H51" s="690">
        <f t="shared" si="3"/>
        <v>4.5384507634122426E-3</v>
      </c>
      <c r="I51" s="199"/>
      <c r="J51" s="19"/>
      <c r="K51" s="200"/>
      <c r="M51" s="223"/>
      <c r="N51" s="12"/>
      <c r="O51" s="224"/>
      <c r="P51" s="225"/>
      <c r="Q51" s="224"/>
      <c r="R51" s="19"/>
    </row>
    <row r="52" spans="1:18">
      <c r="A52" s="206"/>
      <c r="B52" s="13"/>
      <c r="C52" s="12"/>
      <c r="D52" s="686" t="s">
        <v>683</v>
      </c>
      <c r="E52" s="687">
        <f t="shared" si="4"/>
        <v>4867344.0200000014</v>
      </c>
      <c r="F52" s="688">
        <f t="shared" si="2"/>
        <v>6.7214568643562608E-3</v>
      </c>
      <c r="G52" s="689">
        <f t="shared" si="5"/>
        <v>63</v>
      </c>
      <c r="H52" s="690">
        <f t="shared" si="3"/>
        <v>1.7649530746603167E-3</v>
      </c>
      <c r="I52" s="199"/>
      <c r="J52" s="19"/>
      <c r="K52" s="200"/>
      <c r="M52" s="223"/>
      <c r="N52" s="12"/>
      <c r="O52" s="224"/>
      <c r="P52" s="225"/>
      <c r="Q52" s="224"/>
      <c r="R52" s="19"/>
    </row>
    <row r="53" spans="1:18">
      <c r="A53" s="206"/>
      <c r="B53" s="13"/>
      <c r="C53" s="12"/>
      <c r="D53" s="686" t="s">
        <v>684</v>
      </c>
      <c r="E53" s="687">
        <f t="shared" si="4"/>
        <v>6216304.8399999961</v>
      </c>
      <c r="F53" s="688">
        <f t="shared" si="2"/>
        <v>8.5842760787122278E-3</v>
      </c>
      <c r="G53" s="689">
        <f t="shared" si="5"/>
        <v>79</v>
      </c>
      <c r="H53" s="690">
        <f t="shared" si="3"/>
        <v>2.2131951253676987E-3</v>
      </c>
      <c r="I53" s="199"/>
      <c r="J53" s="19"/>
      <c r="K53" s="200"/>
      <c r="M53" s="223"/>
      <c r="N53" s="12"/>
      <c r="O53" s="224"/>
      <c r="P53" s="225"/>
      <c r="Q53" s="224"/>
      <c r="R53" s="19"/>
    </row>
    <row r="54" spans="1:18">
      <c r="A54" s="206"/>
      <c r="B54" s="13"/>
      <c r="C54" s="12"/>
      <c r="D54" s="686" t="s">
        <v>685</v>
      </c>
      <c r="E54" s="687">
        <f t="shared" si="4"/>
        <v>3645757.6900000004</v>
      </c>
      <c r="F54" s="688">
        <f t="shared" si="2"/>
        <v>5.0345327863696226E-3</v>
      </c>
      <c r="G54" s="689">
        <f t="shared" si="5"/>
        <v>45</v>
      </c>
      <c r="H54" s="690">
        <f t="shared" si="3"/>
        <v>1.2606807676145118E-3</v>
      </c>
      <c r="I54" s="199"/>
      <c r="J54" s="19"/>
      <c r="K54" s="200"/>
      <c r="M54" s="223"/>
      <c r="N54" s="12"/>
      <c r="O54" s="224"/>
      <c r="P54" s="225"/>
      <c r="Q54" s="224"/>
      <c r="R54" s="19"/>
    </row>
    <row r="55" spans="1:18">
      <c r="A55" s="206"/>
      <c r="B55" s="13"/>
      <c r="C55" s="12"/>
      <c r="D55" s="686" t="s">
        <v>686</v>
      </c>
      <c r="E55" s="687">
        <f t="shared" si="4"/>
        <v>3320144.689999999</v>
      </c>
      <c r="F55" s="688">
        <f t="shared" si="2"/>
        <v>4.5848843282001008E-3</v>
      </c>
      <c r="G55" s="689">
        <f t="shared" si="5"/>
        <v>40</v>
      </c>
      <c r="H55" s="690">
        <f t="shared" si="3"/>
        <v>1.1206051267684549E-3</v>
      </c>
      <c r="I55" s="199"/>
      <c r="J55" s="19"/>
      <c r="K55" s="200"/>
      <c r="M55" s="223"/>
      <c r="N55" s="12"/>
      <c r="O55" s="224"/>
      <c r="P55" s="225"/>
      <c r="Q55" s="224"/>
      <c r="R55" s="19"/>
    </row>
    <row r="56" spans="1:18">
      <c r="A56" s="206"/>
      <c r="B56" s="13"/>
      <c r="C56" s="12"/>
      <c r="D56" s="686" t="s">
        <v>687</v>
      </c>
      <c r="E56" s="687">
        <f t="shared" si="4"/>
        <v>3065131.9499999997</v>
      </c>
      <c r="F56" s="688">
        <f t="shared" si="2"/>
        <v>4.2327298216091958E-3</v>
      </c>
      <c r="G56" s="689">
        <f t="shared" si="5"/>
        <v>36</v>
      </c>
      <c r="H56" s="690">
        <f t="shared" si="3"/>
        <v>1.0085446140916095E-3</v>
      </c>
      <c r="I56" s="199"/>
      <c r="J56" s="19"/>
      <c r="K56" s="200"/>
      <c r="M56" s="223"/>
      <c r="N56" s="12"/>
      <c r="O56" s="224"/>
      <c r="P56" s="225"/>
      <c r="Q56" s="224"/>
      <c r="R56" s="19"/>
    </row>
    <row r="57" spans="1:18">
      <c r="A57" s="206"/>
      <c r="B57" s="13"/>
      <c r="C57" s="12"/>
      <c r="D57" s="686" t="s">
        <v>688</v>
      </c>
      <c r="E57" s="687">
        <f t="shared" si="4"/>
        <v>1562120.0999999999</v>
      </c>
      <c r="F57" s="688">
        <f t="shared" si="2"/>
        <v>2.1571770612371644E-3</v>
      </c>
      <c r="G57" s="689">
        <f t="shared" si="5"/>
        <v>18</v>
      </c>
      <c r="H57" s="690">
        <f t="shared" si="3"/>
        <v>5.0427230704580474E-4</v>
      </c>
      <c r="I57" s="199"/>
      <c r="J57" s="19"/>
      <c r="K57" s="200"/>
      <c r="M57" s="223"/>
      <c r="N57" s="12"/>
      <c r="O57" s="224"/>
      <c r="P57" s="225"/>
      <c r="Q57" s="224"/>
      <c r="R57" s="19"/>
    </row>
    <row r="58" spans="1:18">
      <c r="A58" s="206"/>
      <c r="B58" s="13"/>
      <c r="C58" s="12"/>
      <c r="D58" s="686" t="s">
        <v>689</v>
      </c>
      <c r="E58" s="687">
        <f t="shared" si="4"/>
        <v>1246309.6199999999</v>
      </c>
      <c r="F58" s="688">
        <f t="shared" si="2"/>
        <v>1.721065187921983E-3</v>
      </c>
      <c r="G58" s="689">
        <f t="shared" si="5"/>
        <v>14</v>
      </c>
      <c r="H58" s="690">
        <f t="shared" si="3"/>
        <v>3.9221179436895923E-4</v>
      </c>
      <c r="I58" s="199"/>
      <c r="J58" s="19"/>
      <c r="K58" s="200"/>
      <c r="M58" s="223"/>
      <c r="N58" s="12"/>
      <c r="O58" s="224"/>
      <c r="P58" s="225"/>
      <c r="Q58" s="224"/>
      <c r="R58" s="19"/>
    </row>
    <row r="59" spans="1:18">
      <c r="A59" s="206"/>
      <c r="B59" s="13"/>
      <c r="C59" s="12"/>
      <c r="D59" s="686" t="s">
        <v>690</v>
      </c>
      <c r="E59" s="687">
        <f t="shared" si="4"/>
        <v>999428.35</v>
      </c>
      <c r="F59" s="688">
        <f t="shared" si="2"/>
        <v>1.3801396646583755E-3</v>
      </c>
      <c r="G59" s="689">
        <f t="shared" si="5"/>
        <v>11</v>
      </c>
      <c r="H59" s="690">
        <f t="shared" si="3"/>
        <v>3.0816640986132513E-4</v>
      </c>
      <c r="I59" s="199"/>
      <c r="J59" s="19"/>
      <c r="K59" s="200"/>
      <c r="M59" s="223"/>
      <c r="N59" s="12"/>
      <c r="O59" s="224"/>
      <c r="P59" s="225"/>
      <c r="Q59" s="224"/>
      <c r="R59" s="19"/>
    </row>
    <row r="60" spans="1:18">
      <c r="A60" s="206"/>
      <c r="B60" s="13"/>
      <c r="C60" s="12"/>
      <c r="D60" s="686" t="s">
        <v>691</v>
      </c>
      <c r="E60" s="687">
        <f t="shared" si="4"/>
        <v>187344.47999999998</v>
      </c>
      <c r="F60" s="688">
        <f t="shared" si="2"/>
        <v>2.5870943905363273E-4</v>
      </c>
      <c r="G60" s="689">
        <f t="shared" si="5"/>
        <v>2</v>
      </c>
      <c r="H60" s="690">
        <f t="shared" si="3"/>
        <v>5.6030256338422748E-5</v>
      </c>
      <c r="I60" s="199"/>
      <c r="J60" s="19"/>
      <c r="K60" s="200"/>
      <c r="M60" s="223"/>
      <c r="N60" s="12"/>
      <c r="O60" s="224"/>
      <c r="P60" s="225"/>
      <c r="Q60" s="224"/>
      <c r="R60" s="19"/>
    </row>
    <row r="61" spans="1:18">
      <c r="A61" s="206"/>
      <c r="B61" s="13"/>
      <c r="C61" s="12"/>
      <c r="D61" s="686" t="s">
        <v>692</v>
      </c>
      <c r="E61" s="687">
        <f t="shared" si="4"/>
        <v>472093.62</v>
      </c>
      <c r="F61" s="688">
        <f t="shared" si="2"/>
        <v>6.5192780492384335E-4</v>
      </c>
      <c r="G61" s="689">
        <f t="shared" si="5"/>
        <v>5</v>
      </c>
      <c r="H61" s="690">
        <f t="shared" si="3"/>
        <v>1.4007564084605686E-4</v>
      </c>
      <c r="I61" s="199"/>
      <c r="J61" s="19"/>
      <c r="K61" s="200"/>
      <c r="M61" s="223"/>
      <c r="N61" s="12"/>
      <c r="O61" s="224"/>
      <c r="P61" s="225"/>
      <c r="Q61" s="224"/>
      <c r="R61" s="19"/>
    </row>
    <row r="62" spans="1:18">
      <c r="A62" s="206"/>
      <c r="B62" s="13"/>
      <c r="C62" s="12"/>
      <c r="D62" s="686" t="s">
        <v>693</v>
      </c>
      <c r="E62" s="687">
        <f t="shared" si="4"/>
        <v>96459.59</v>
      </c>
      <c r="F62" s="688">
        <f t="shared" si="2"/>
        <v>1.3320385217778182E-4</v>
      </c>
      <c r="G62" s="689">
        <f t="shared" si="5"/>
        <v>1</v>
      </c>
      <c r="H62" s="690">
        <f t="shared" si="3"/>
        <v>2.8015128169211374E-5</v>
      </c>
      <c r="I62" s="199"/>
      <c r="J62" s="19"/>
      <c r="K62" s="200"/>
      <c r="M62" s="223"/>
      <c r="N62" s="12"/>
      <c r="O62" s="224"/>
      <c r="P62" s="225"/>
      <c r="Q62" s="224"/>
      <c r="R62" s="19"/>
    </row>
    <row r="63" spans="1:18">
      <c r="A63" s="206"/>
      <c r="B63" s="13"/>
      <c r="C63" s="12"/>
      <c r="D63" s="686" t="s">
        <v>694</v>
      </c>
      <c r="E63" s="687">
        <f t="shared" si="4"/>
        <v>198134.5</v>
      </c>
      <c r="F63" s="688">
        <f t="shared" si="2"/>
        <v>2.7360969136732506E-4</v>
      </c>
      <c r="G63" s="689">
        <f t="shared" si="5"/>
        <v>2</v>
      </c>
      <c r="H63" s="690">
        <f t="shared" si="3"/>
        <v>5.6030256338422748E-5</v>
      </c>
      <c r="I63" s="199"/>
      <c r="J63" s="19"/>
      <c r="K63" s="200"/>
      <c r="M63" s="223"/>
      <c r="N63" s="12"/>
      <c r="O63" s="224"/>
      <c r="P63" s="225"/>
      <c r="Q63" s="224"/>
      <c r="R63" s="19"/>
    </row>
    <row r="64" spans="1:18" ht="13" thickBot="1">
      <c r="A64" s="206"/>
      <c r="B64" s="13"/>
      <c r="C64" s="12"/>
      <c r="D64" s="686" t="s">
        <v>784</v>
      </c>
      <c r="E64" s="687">
        <f t="shared" si="4"/>
        <v>1792769.5500000003</v>
      </c>
      <c r="F64" s="688">
        <f t="shared" si="2"/>
        <v>2.4756875923589191E-3</v>
      </c>
      <c r="G64" s="689">
        <f t="shared" si="5"/>
        <v>16</v>
      </c>
      <c r="H64" s="690">
        <f t="shared" si="3"/>
        <v>4.4824205070738199E-4</v>
      </c>
      <c r="I64" s="199"/>
      <c r="J64" s="19"/>
      <c r="K64" s="200"/>
      <c r="M64" s="223"/>
      <c r="N64" s="12"/>
      <c r="O64" s="224"/>
      <c r="P64" s="225"/>
      <c r="Q64" s="224"/>
      <c r="R64" s="19"/>
    </row>
    <row r="65" spans="1:18" ht="14" thickTop="1" thickBot="1">
      <c r="A65" s="206"/>
      <c r="B65" s="230"/>
      <c r="C65" s="260"/>
      <c r="D65" s="692" t="s">
        <v>36</v>
      </c>
      <c r="E65" s="693">
        <f>SUM(E14:E64)</f>
        <v>724150153.49000013</v>
      </c>
      <c r="F65" s="694">
        <f>SUM(F14:F64)</f>
        <v>1</v>
      </c>
      <c r="G65" s="695">
        <f>SUM(G14:G64)</f>
        <v>35695</v>
      </c>
      <c r="H65" s="696">
        <f>SUM(H14:H64)</f>
        <v>1</v>
      </c>
      <c r="I65" s="199"/>
      <c r="J65" s="19"/>
      <c r="K65" s="200"/>
      <c r="M65" s="697"/>
      <c r="N65" s="698"/>
      <c r="O65" s="699"/>
      <c r="P65" s="700"/>
      <c r="Q65" s="699"/>
      <c r="R65" s="19"/>
    </row>
    <row r="66" spans="1:18" ht="13">
      <c r="A66" s="206"/>
      <c r="B66" s="230"/>
      <c r="C66" s="260"/>
      <c r="D66" s="697"/>
      <c r="E66" s="698"/>
      <c r="F66" s="699"/>
      <c r="G66" s="700"/>
      <c r="H66" s="699"/>
      <c r="I66" s="199"/>
      <c r="J66" s="19"/>
      <c r="K66" s="200"/>
      <c r="M66" s="697"/>
      <c r="N66" s="698"/>
      <c r="O66" s="699"/>
      <c r="P66" s="700"/>
      <c r="Q66" s="699"/>
      <c r="R66" s="19"/>
    </row>
    <row r="67" spans="1:18" ht="13">
      <c r="A67" s="206"/>
      <c r="B67" s="230"/>
      <c r="C67" s="260"/>
      <c r="D67" s="697"/>
      <c r="E67" s="698"/>
      <c r="F67" s="699"/>
      <c r="G67" s="700"/>
      <c r="H67" s="699"/>
      <c r="I67" s="199"/>
      <c r="J67" s="19"/>
      <c r="K67" s="200"/>
      <c r="M67" s="697"/>
      <c r="N67" s="698"/>
      <c r="O67" s="699"/>
      <c r="P67" s="700"/>
      <c r="Q67" s="699"/>
      <c r="R67" s="19"/>
    </row>
    <row r="68" spans="1:18" ht="13.5" thickBot="1">
      <c r="A68" s="206"/>
      <c r="B68" s="236"/>
      <c r="C68" s="260"/>
      <c r="D68" s="591" t="s">
        <v>70</v>
      </c>
      <c r="E68" s="591" t="s">
        <v>60</v>
      </c>
      <c r="F68" s="105"/>
      <c r="G68" s="105"/>
      <c r="H68" s="105"/>
      <c r="I68" s="199"/>
      <c r="J68" s="19"/>
      <c r="K68" s="200"/>
      <c r="M68" s="528"/>
      <c r="N68" s="528"/>
      <c r="O68" s="19"/>
      <c r="P68" s="19"/>
      <c r="Q68" s="19"/>
      <c r="R68" s="19"/>
    </row>
    <row r="69" spans="1:18" ht="13" thickBot="1">
      <c r="A69" s="206"/>
      <c r="B69" s="236"/>
      <c r="C69" s="260"/>
      <c r="D69" s="535" t="s">
        <v>61</v>
      </c>
      <c r="E69" s="910">
        <f>E65/G65</f>
        <v>20287.159363776442</v>
      </c>
      <c r="F69" s="105"/>
      <c r="G69" s="105"/>
      <c r="H69" s="105"/>
      <c r="I69" s="199"/>
      <c r="J69" s="19"/>
      <c r="K69" s="200"/>
      <c r="M69" s="230"/>
      <c r="N69" s="260"/>
      <c r="O69" s="19"/>
      <c r="P69" s="19"/>
      <c r="Q69" s="19"/>
      <c r="R69" s="19"/>
    </row>
    <row r="70" spans="1:18">
      <c r="A70" s="206"/>
      <c r="B70" s="19"/>
      <c r="I70" s="517"/>
      <c r="J70" s="19"/>
      <c r="K70" s="200"/>
      <c r="M70" s="19"/>
      <c r="N70" s="19"/>
      <c r="O70" s="19"/>
      <c r="P70" s="19"/>
      <c r="Q70" s="19"/>
      <c r="R70" s="19"/>
    </row>
    <row r="71" spans="1:18">
      <c r="A71" s="221"/>
      <c r="B71" s="54"/>
      <c r="C71" s="54"/>
      <c r="D71" s="54"/>
      <c r="E71" s="54"/>
      <c r="F71" s="54"/>
      <c r="G71" s="54"/>
      <c r="H71" s="54"/>
      <c r="I71" s="416"/>
      <c r="J71" s="54"/>
      <c r="K71" s="222"/>
      <c r="M71" s="19"/>
      <c r="N71" s="19"/>
      <c r="O71" s="19"/>
      <c r="P71" s="19"/>
      <c r="Q71" s="19"/>
      <c r="R71" s="19"/>
    </row>
    <row r="72" spans="1:18">
      <c r="I72" s="517"/>
      <c r="M72" s="19"/>
      <c r="N72" s="19"/>
      <c r="O72" s="19"/>
      <c r="P72" s="19"/>
      <c r="Q72" s="19"/>
      <c r="R72" s="19"/>
    </row>
    <row r="73" spans="1:18">
      <c r="I73" s="517"/>
      <c r="M73" s="19"/>
      <c r="N73" s="19"/>
      <c r="O73" s="19"/>
      <c r="P73" s="19"/>
      <c r="Q73" s="19"/>
      <c r="R73" s="19"/>
    </row>
    <row r="74" spans="1:18">
      <c r="I74" s="517"/>
      <c r="M74" s="19"/>
      <c r="N74" s="19"/>
      <c r="O74" s="19"/>
      <c r="P74" s="19"/>
      <c r="Q74" s="19"/>
      <c r="R74" s="19"/>
    </row>
    <row r="75" spans="1:18">
      <c r="I75" s="517"/>
      <c r="M75" s="19"/>
      <c r="N75" s="19"/>
      <c r="O75" s="19"/>
      <c r="P75" s="19"/>
      <c r="Q75" s="19"/>
      <c r="R75" s="19"/>
    </row>
    <row r="76" spans="1:18">
      <c r="I76" s="517"/>
      <c r="M76" s="19"/>
      <c r="N76" s="19"/>
      <c r="O76" s="19"/>
      <c r="P76" s="19"/>
      <c r="Q76" s="19"/>
      <c r="R76" s="19"/>
    </row>
    <row r="77" spans="1:18">
      <c r="I77" s="517"/>
      <c r="M77" s="19"/>
      <c r="N77" s="19"/>
      <c r="O77" s="19"/>
      <c r="P77" s="19"/>
      <c r="Q77" s="19"/>
      <c r="R77" s="19"/>
    </row>
    <row r="78" spans="1:18">
      <c r="I78" s="517"/>
      <c r="M78" s="19"/>
      <c r="N78" s="19"/>
      <c r="O78" s="19"/>
      <c r="P78" s="19"/>
      <c r="Q78" s="19"/>
      <c r="R78" s="19"/>
    </row>
    <row r="79" spans="1:18">
      <c r="I79" s="517"/>
      <c r="M79" s="19"/>
      <c r="N79" s="19"/>
      <c r="O79" s="19"/>
      <c r="P79" s="19"/>
      <c r="Q79" s="19"/>
      <c r="R79" s="19"/>
    </row>
    <row r="80" spans="1:18">
      <c r="I80" s="517"/>
      <c r="M80" s="19"/>
      <c r="N80" s="19"/>
      <c r="O80" s="19"/>
      <c r="P80" s="19"/>
      <c r="Q80" s="19"/>
      <c r="R80" s="19"/>
    </row>
    <row r="81" spans="9:18">
      <c r="I81" s="517"/>
      <c r="M81" s="19"/>
      <c r="N81" s="19"/>
      <c r="O81" s="19"/>
      <c r="P81" s="19"/>
      <c r="Q81" s="19"/>
      <c r="R81" s="19"/>
    </row>
    <row r="82" spans="9:18">
      <c r="I82" s="517"/>
      <c r="M82" s="19"/>
      <c r="N82" s="19"/>
      <c r="O82" s="19"/>
      <c r="P82" s="19"/>
      <c r="Q82" s="19"/>
      <c r="R82" s="19"/>
    </row>
    <row r="83" spans="9:18">
      <c r="I83" s="517"/>
      <c r="M83" s="19"/>
      <c r="N83" s="19"/>
      <c r="O83" s="19"/>
      <c r="P83" s="19"/>
      <c r="Q83" s="19"/>
      <c r="R83" s="19"/>
    </row>
    <row r="84" spans="9:18">
      <c r="I84" s="517"/>
      <c r="M84" s="19"/>
      <c r="N84" s="19"/>
      <c r="O84" s="19"/>
      <c r="P84" s="19"/>
      <c r="Q84" s="19"/>
      <c r="R84" s="19"/>
    </row>
    <row r="85" spans="9:18">
      <c r="I85" s="517"/>
      <c r="M85" s="19"/>
      <c r="N85" s="19"/>
      <c r="O85" s="19"/>
      <c r="P85" s="19"/>
      <c r="Q85" s="19"/>
      <c r="R85" s="19"/>
    </row>
    <row r="86" spans="9:18">
      <c r="I86" s="517"/>
      <c r="M86" s="19"/>
      <c r="N86" s="19"/>
      <c r="O86" s="19"/>
      <c r="P86" s="19"/>
      <c r="Q86" s="19"/>
      <c r="R86" s="19"/>
    </row>
    <row r="87" spans="9:18">
      <c r="I87" s="517"/>
      <c r="M87" s="19"/>
      <c r="N87" s="19"/>
      <c r="O87" s="19"/>
      <c r="P87" s="19"/>
      <c r="Q87" s="19"/>
      <c r="R87" s="19"/>
    </row>
    <row r="88" spans="9:18">
      <c r="I88" s="517"/>
      <c r="M88" s="19"/>
      <c r="N88" s="19"/>
      <c r="O88" s="19"/>
      <c r="P88" s="19"/>
      <c r="Q88" s="19"/>
      <c r="R88" s="19"/>
    </row>
    <row r="89" spans="9:18">
      <c r="I89" s="517"/>
      <c r="M89" s="19"/>
      <c r="N89" s="19"/>
      <c r="O89" s="19"/>
      <c r="P89" s="19"/>
      <c r="Q89" s="19"/>
      <c r="R89" s="19"/>
    </row>
    <row r="90" spans="9:18">
      <c r="I90" s="517"/>
      <c r="M90" s="19"/>
      <c r="N90" s="19"/>
      <c r="O90" s="19"/>
      <c r="P90" s="19"/>
      <c r="Q90" s="19"/>
      <c r="R90" s="19"/>
    </row>
    <row r="91" spans="9:18">
      <c r="I91" s="517"/>
      <c r="M91" s="19"/>
      <c r="N91" s="19"/>
      <c r="O91" s="19"/>
      <c r="P91" s="19"/>
      <c r="Q91" s="19"/>
      <c r="R91" s="19"/>
    </row>
    <row r="92" spans="9:18">
      <c r="I92" s="517"/>
      <c r="M92" s="19"/>
      <c r="N92" s="19"/>
      <c r="O92" s="19"/>
      <c r="P92" s="19"/>
      <c r="Q92" s="19"/>
      <c r="R92" s="19"/>
    </row>
    <row r="93" spans="9:18">
      <c r="I93" s="517"/>
      <c r="M93" s="19"/>
      <c r="N93" s="19"/>
      <c r="O93" s="19"/>
      <c r="P93" s="19"/>
      <c r="Q93" s="19"/>
      <c r="R93" s="19"/>
    </row>
    <row r="94" spans="9:18">
      <c r="I94" s="517"/>
      <c r="M94" s="19"/>
      <c r="N94" s="19"/>
      <c r="O94" s="19"/>
      <c r="P94" s="19"/>
      <c r="Q94" s="19"/>
      <c r="R94" s="19"/>
    </row>
    <row r="95" spans="9:18">
      <c r="I95" s="517"/>
      <c r="M95" s="19"/>
      <c r="N95" s="19"/>
      <c r="O95" s="19"/>
      <c r="P95" s="19"/>
      <c r="Q95" s="19"/>
      <c r="R95" s="19"/>
    </row>
    <row r="96" spans="9:18">
      <c r="I96" s="517"/>
      <c r="M96" s="19"/>
      <c r="N96" s="19"/>
      <c r="O96" s="19"/>
      <c r="P96" s="19"/>
      <c r="Q96" s="19"/>
      <c r="R96" s="19"/>
    </row>
    <row r="97" spans="9:18">
      <c r="I97" s="517"/>
      <c r="M97" s="19"/>
      <c r="N97" s="19"/>
      <c r="O97" s="19"/>
      <c r="P97" s="19"/>
      <c r="Q97" s="19"/>
      <c r="R97" s="19"/>
    </row>
    <row r="98" spans="9:18">
      <c r="I98" s="517"/>
      <c r="M98" s="19"/>
      <c r="N98" s="19"/>
      <c r="O98" s="19"/>
      <c r="P98" s="19"/>
      <c r="Q98" s="19"/>
      <c r="R98" s="19"/>
    </row>
    <row r="99" spans="9:18">
      <c r="I99" s="517"/>
      <c r="M99" s="19"/>
      <c r="N99" s="19"/>
      <c r="O99" s="19"/>
      <c r="P99" s="19"/>
      <c r="Q99" s="19"/>
      <c r="R99" s="19"/>
    </row>
    <row r="100" spans="9:18">
      <c r="I100" s="517"/>
      <c r="M100" s="19"/>
      <c r="N100" s="19"/>
      <c r="O100" s="19"/>
      <c r="P100" s="19"/>
      <c r="Q100" s="19"/>
      <c r="R100" s="19"/>
    </row>
    <row r="101" spans="9:18">
      <c r="I101" s="517"/>
      <c r="M101" s="19"/>
      <c r="N101" s="19"/>
      <c r="O101" s="19"/>
      <c r="P101" s="19"/>
      <c r="Q101" s="19"/>
      <c r="R101" s="19"/>
    </row>
    <row r="102" spans="9:18">
      <c r="I102" s="517"/>
      <c r="M102" s="19"/>
      <c r="N102" s="19"/>
      <c r="O102" s="19"/>
      <c r="P102" s="19"/>
      <c r="Q102" s="19"/>
      <c r="R102" s="19"/>
    </row>
    <row r="103" spans="9:18">
      <c r="I103" s="517"/>
      <c r="M103" s="19"/>
      <c r="N103" s="19"/>
      <c r="O103" s="19"/>
      <c r="P103" s="19"/>
      <c r="Q103" s="19"/>
      <c r="R103" s="19"/>
    </row>
    <row r="104" spans="9:18">
      <c r="I104" s="517"/>
      <c r="M104" s="19"/>
      <c r="N104" s="19"/>
      <c r="O104" s="19"/>
      <c r="P104" s="19"/>
      <c r="Q104" s="19"/>
      <c r="R104" s="19"/>
    </row>
    <row r="105" spans="9:18">
      <c r="I105" s="517"/>
      <c r="M105" s="19"/>
      <c r="N105" s="19"/>
      <c r="O105" s="19"/>
      <c r="P105" s="19"/>
      <c r="Q105" s="19"/>
      <c r="R105" s="19"/>
    </row>
    <row r="106" spans="9:18">
      <c r="I106" s="517"/>
      <c r="M106" s="19"/>
      <c r="N106" s="19"/>
      <c r="O106" s="19"/>
      <c r="P106" s="19"/>
      <c r="Q106" s="19"/>
      <c r="R106" s="19"/>
    </row>
    <row r="107" spans="9:18">
      <c r="I107" s="517"/>
      <c r="M107" s="19"/>
      <c r="N107" s="19"/>
      <c r="O107" s="19"/>
      <c r="P107" s="19"/>
      <c r="Q107" s="19"/>
      <c r="R107" s="19"/>
    </row>
    <row r="108" spans="9:18">
      <c r="I108" s="517"/>
      <c r="M108" s="19"/>
      <c r="N108" s="19"/>
      <c r="O108" s="19"/>
      <c r="P108" s="19"/>
      <c r="Q108" s="19"/>
      <c r="R108" s="19"/>
    </row>
    <row r="109" spans="9:18">
      <c r="I109" s="517"/>
      <c r="M109" s="19"/>
      <c r="N109" s="19"/>
      <c r="O109" s="19"/>
      <c r="P109" s="19"/>
      <c r="Q109" s="19"/>
      <c r="R109" s="19"/>
    </row>
    <row r="110" spans="9:18">
      <c r="I110" s="517"/>
      <c r="M110" s="19"/>
      <c r="N110" s="19"/>
      <c r="O110" s="19"/>
      <c r="P110" s="19"/>
      <c r="Q110" s="19"/>
      <c r="R110" s="19"/>
    </row>
    <row r="111" spans="9:18">
      <c r="I111" s="517"/>
      <c r="M111" s="19"/>
      <c r="N111" s="19"/>
      <c r="O111" s="19"/>
      <c r="P111" s="19"/>
      <c r="Q111" s="19"/>
      <c r="R111" s="19"/>
    </row>
    <row r="112" spans="9:18">
      <c r="I112" s="517"/>
      <c r="M112" s="19"/>
      <c r="N112" s="19"/>
      <c r="O112" s="19"/>
      <c r="P112" s="19"/>
      <c r="Q112" s="19"/>
      <c r="R112" s="19"/>
    </row>
    <row r="113" spans="9:18">
      <c r="I113" s="517"/>
      <c r="M113" s="19"/>
      <c r="N113" s="19"/>
      <c r="O113" s="19"/>
      <c r="P113" s="19"/>
      <c r="Q113" s="19"/>
      <c r="R113" s="19"/>
    </row>
    <row r="114" spans="9:18">
      <c r="I114" s="517"/>
      <c r="M114" s="19"/>
      <c r="N114" s="19"/>
      <c r="O114" s="19"/>
      <c r="P114" s="19"/>
      <c r="Q114" s="19"/>
      <c r="R114" s="19"/>
    </row>
    <row r="115" spans="9:18">
      <c r="I115" s="517"/>
      <c r="M115" s="19"/>
      <c r="N115" s="19"/>
      <c r="O115" s="19"/>
      <c r="P115" s="19"/>
      <c r="Q115" s="19"/>
      <c r="R115" s="19"/>
    </row>
    <row r="116" spans="9:18">
      <c r="I116" s="517"/>
      <c r="M116" s="19"/>
      <c r="N116" s="19"/>
      <c r="O116" s="19"/>
      <c r="P116" s="19"/>
      <c r="Q116" s="19"/>
      <c r="R116" s="19"/>
    </row>
    <row r="117" spans="9:18">
      <c r="I117" s="517"/>
      <c r="M117" s="19"/>
      <c r="N117" s="19"/>
      <c r="O117" s="19"/>
      <c r="P117" s="19"/>
      <c r="Q117" s="19"/>
      <c r="R117" s="19"/>
    </row>
    <row r="118" spans="9:18">
      <c r="I118" s="517"/>
      <c r="M118" s="19"/>
      <c r="N118" s="19"/>
      <c r="O118" s="19"/>
      <c r="P118" s="19"/>
      <c r="Q118" s="19"/>
      <c r="R118" s="19"/>
    </row>
    <row r="119" spans="9:18">
      <c r="I119" s="517"/>
      <c r="M119" s="19"/>
      <c r="N119" s="19"/>
      <c r="O119" s="19"/>
      <c r="P119" s="19"/>
      <c r="Q119" s="19"/>
      <c r="R119" s="19"/>
    </row>
    <row r="120" spans="9:18">
      <c r="I120" s="517"/>
      <c r="M120" s="19"/>
      <c r="N120" s="19"/>
      <c r="O120" s="19"/>
      <c r="P120" s="19"/>
      <c r="Q120" s="19"/>
      <c r="R120" s="19"/>
    </row>
    <row r="121" spans="9:18">
      <c r="I121" s="517"/>
      <c r="M121" s="19"/>
      <c r="N121" s="19"/>
      <c r="O121" s="19"/>
      <c r="P121" s="19"/>
      <c r="Q121" s="19"/>
      <c r="R121" s="19"/>
    </row>
    <row r="122" spans="9:18">
      <c r="I122" s="517"/>
      <c r="M122" s="19"/>
      <c r="N122" s="19"/>
      <c r="O122" s="19"/>
      <c r="P122" s="19"/>
      <c r="Q122" s="19"/>
      <c r="R122" s="19"/>
    </row>
    <row r="123" spans="9:18">
      <c r="I123" s="517"/>
      <c r="M123" s="19"/>
      <c r="N123" s="19"/>
      <c r="O123" s="19"/>
      <c r="P123" s="19"/>
      <c r="Q123" s="19"/>
      <c r="R123" s="19"/>
    </row>
    <row r="124" spans="9:18">
      <c r="I124" s="517"/>
      <c r="M124" s="19"/>
      <c r="N124" s="19"/>
      <c r="O124" s="19"/>
      <c r="P124" s="19"/>
      <c r="Q124" s="19"/>
      <c r="R124" s="19"/>
    </row>
    <row r="125" spans="9:18">
      <c r="I125" s="517"/>
      <c r="M125" s="19"/>
      <c r="N125" s="19"/>
      <c r="O125" s="19"/>
      <c r="P125" s="19"/>
      <c r="Q125" s="19"/>
      <c r="R125" s="19"/>
    </row>
    <row r="126" spans="9:18">
      <c r="I126" s="517"/>
      <c r="M126" s="19"/>
      <c r="N126" s="19"/>
      <c r="O126" s="19"/>
      <c r="P126" s="19"/>
      <c r="Q126" s="19"/>
      <c r="R126" s="19"/>
    </row>
    <row r="127" spans="9:18">
      <c r="I127" s="517"/>
      <c r="M127" s="19"/>
      <c r="N127" s="19"/>
      <c r="O127" s="19"/>
      <c r="P127" s="19"/>
      <c r="Q127" s="19"/>
      <c r="R127" s="19"/>
    </row>
    <row r="128" spans="9:18">
      <c r="I128" s="517"/>
      <c r="M128" s="19"/>
      <c r="N128" s="19"/>
      <c r="O128" s="19"/>
      <c r="P128" s="19"/>
      <c r="Q128" s="19"/>
      <c r="R128" s="19"/>
    </row>
    <row r="129" spans="9:18">
      <c r="I129" s="517"/>
      <c r="M129" s="19"/>
      <c r="N129" s="19"/>
      <c r="O129" s="19"/>
      <c r="P129" s="19"/>
      <c r="Q129" s="19"/>
      <c r="R129" s="19"/>
    </row>
    <row r="130" spans="9:18">
      <c r="I130" s="517"/>
      <c r="M130" s="19"/>
      <c r="N130" s="19"/>
      <c r="O130" s="19"/>
      <c r="P130" s="19"/>
      <c r="Q130" s="19"/>
      <c r="R130" s="19"/>
    </row>
    <row r="131" spans="9:18">
      <c r="I131" s="517"/>
      <c r="M131" s="19"/>
      <c r="N131" s="19"/>
      <c r="O131" s="19"/>
      <c r="P131" s="19"/>
      <c r="Q131" s="19"/>
      <c r="R131" s="19"/>
    </row>
    <row r="132" spans="9:18">
      <c r="I132" s="517"/>
      <c r="M132" s="19"/>
      <c r="N132" s="19"/>
      <c r="O132" s="19"/>
      <c r="P132" s="19"/>
      <c r="Q132" s="19"/>
      <c r="R132" s="19"/>
    </row>
    <row r="133" spans="9:18">
      <c r="I133" s="517"/>
      <c r="M133" s="19"/>
      <c r="N133" s="19"/>
      <c r="O133" s="19"/>
      <c r="P133" s="19"/>
      <c r="Q133" s="19"/>
      <c r="R133" s="19"/>
    </row>
    <row r="134" spans="9:18">
      <c r="I134" s="517"/>
      <c r="M134" s="19"/>
      <c r="N134" s="19"/>
      <c r="O134" s="19"/>
      <c r="P134" s="19"/>
      <c r="Q134" s="19"/>
      <c r="R134" s="19"/>
    </row>
    <row r="135" spans="9:18">
      <c r="I135" s="517"/>
      <c r="M135" s="19"/>
      <c r="N135" s="19"/>
      <c r="O135" s="19"/>
      <c r="P135" s="19"/>
      <c r="Q135" s="19"/>
      <c r="R135" s="19"/>
    </row>
    <row r="136" spans="9:18">
      <c r="I136" s="517"/>
      <c r="M136" s="19"/>
      <c r="N136" s="19"/>
      <c r="O136" s="19"/>
      <c r="P136" s="19"/>
      <c r="Q136" s="19"/>
      <c r="R136" s="19"/>
    </row>
    <row r="137" spans="9:18">
      <c r="I137" s="517"/>
      <c r="M137" s="19"/>
      <c r="N137" s="19"/>
      <c r="O137" s="19"/>
      <c r="P137" s="19"/>
      <c r="Q137" s="19"/>
      <c r="R137" s="19"/>
    </row>
    <row r="138" spans="9:18">
      <c r="I138" s="517"/>
      <c r="M138" s="19"/>
      <c r="N138" s="19"/>
      <c r="O138" s="19"/>
      <c r="P138" s="19"/>
      <c r="Q138" s="19"/>
      <c r="R138" s="19"/>
    </row>
    <row r="139" spans="9:18">
      <c r="I139" s="517"/>
      <c r="M139" s="19"/>
      <c r="N139" s="19"/>
      <c r="O139" s="19"/>
      <c r="P139" s="19"/>
      <c r="Q139" s="19"/>
      <c r="R139" s="19"/>
    </row>
    <row r="140" spans="9:18">
      <c r="I140" s="517"/>
      <c r="M140" s="19"/>
      <c r="N140" s="19"/>
      <c r="O140" s="19"/>
      <c r="P140" s="19"/>
      <c r="Q140" s="19"/>
      <c r="R140" s="19"/>
    </row>
    <row r="141" spans="9:18">
      <c r="I141" s="517"/>
      <c r="M141" s="19"/>
      <c r="N141" s="19"/>
      <c r="O141" s="19"/>
      <c r="P141" s="19"/>
      <c r="Q141" s="19"/>
      <c r="R141" s="19"/>
    </row>
    <row r="142" spans="9:18">
      <c r="I142" s="517"/>
      <c r="M142" s="19"/>
      <c r="N142" s="19"/>
      <c r="O142" s="19"/>
      <c r="P142" s="19"/>
      <c r="Q142" s="19"/>
      <c r="R142" s="19"/>
    </row>
    <row r="143" spans="9:18">
      <c r="I143" s="517"/>
      <c r="M143" s="19"/>
      <c r="N143" s="19"/>
      <c r="O143" s="19"/>
      <c r="P143" s="19"/>
      <c r="Q143" s="19"/>
      <c r="R143" s="19"/>
    </row>
    <row r="144" spans="9:18">
      <c r="I144" s="517"/>
      <c r="M144" s="19"/>
      <c r="N144" s="19"/>
      <c r="O144" s="19"/>
      <c r="P144" s="19"/>
      <c r="Q144" s="19"/>
      <c r="R144" s="19"/>
    </row>
    <row r="145" spans="9:18">
      <c r="I145" s="517"/>
      <c r="M145" s="19"/>
      <c r="N145" s="19"/>
      <c r="O145" s="19"/>
      <c r="P145" s="19"/>
      <c r="Q145" s="19"/>
      <c r="R145" s="19"/>
    </row>
    <row r="146" spans="9:18">
      <c r="I146" s="517"/>
      <c r="M146" s="19"/>
      <c r="N146" s="19"/>
      <c r="O146" s="19"/>
      <c r="P146" s="19"/>
      <c r="Q146" s="19"/>
      <c r="R146" s="19"/>
    </row>
    <row r="147" spans="9:18">
      <c r="I147" s="517"/>
      <c r="M147" s="19"/>
      <c r="N147" s="19"/>
      <c r="O147" s="19"/>
      <c r="P147" s="19"/>
      <c r="Q147" s="19"/>
      <c r="R147" s="19"/>
    </row>
    <row r="148" spans="9:18">
      <c r="I148" s="517"/>
      <c r="M148" s="19"/>
      <c r="N148" s="19"/>
      <c r="O148" s="19"/>
      <c r="P148" s="19"/>
      <c r="Q148" s="19"/>
      <c r="R148" s="19"/>
    </row>
    <row r="149" spans="9:18">
      <c r="I149" s="517"/>
      <c r="M149" s="19"/>
      <c r="N149" s="19"/>
      <c r="O149" s="19"/>
      <c r="P149" s="19"/>
      <c r="Q149" s="19"/>
      <c r="R149" s="19"/>
    </row>
    <row r="150" spans="9:18">
      <c r="I150" s="517"/>
      <c r="M150" s="19"/>
      <c r="N150" s="19"/>
      <c r="O150" s="19"/>
      <c r="P150" s="19"/>
      <c r="Q150" s="19"/>
      <c r="R150" s="19"/>
    </row>
    <row r="151" spans="9:18">
      <c r="I151" s="517"/>
      <c r="M151" s="19"/>
      <c r="N151" s="19"/>
      <c r="O151" s="19"/>
      <c r="P151" s="19"/>
      <c r="Q151" s="19"/>
      <c r="R151" s="19"/>
    </row>
    <row r="152" spans="9:18">
      <c r="I152" s="517"/>
      <c r="M152" s="19"/>
      <c r="N152" s="19"/>
      <c r="O152" s="19"/>
      <c r="P152" s="19"/>
      <c r="Q152" s="19"/>
      <c r="R152" s="19"/>
    </row>
    <row r="153" spans="9:18">
      <c r="I153" s="517"/>
      <c r="M153" s="19"/>
      <c r="N153" s="19"/>
      <c r="O153" s="19"/>
      <c r="P153" s="19"/>
      <c r="Q153" s="19"/>
      <c r="R153" s="19"/>
    </row>
    <row r="154" spans="9:18">
      <c r="I154" s="517"/>
      <c r="M154" s="19"/>
      <c r="N154" s="19"/>
      <c r="O154" s="19"/>
      <c r="P154" s="19"/>
      <c r="Q154" s="19"/>
      <c r="R154" s="19"/>
    </row>
    <row r="155" spans="9:18">
      <c r="I155" s="517"/>
      <c r="M155" s="19"/>
      <c r="N155" s="19"/>
      <c r="O155" s="19"/>
      <c r="P155" s="19"/>
      <c r="Q155" s="19"/>
      <c r="R155" s="19"/>
    </row>
    <row r="156" spans="9:18">
      <c r="I156" s="517"/>
      <c r="M156" s="19"/>
      <c r="N156" s="19"/>
      <c r="O156" s="19"/>
      <c r="P156" s="19"/>
      <c r="Q156" s="19"/>
      <c r="R156" s="19"/>
    </row>
    <row r="157" spans="9:18">
      <c r="I157" s="517"/>
      <c r="M157" s="19"/>
      <c r="N157" s="19"/>
      <c r="O157" s="19"/>
      <c r="P157" s="19"/>
      <c r="Q157" s="19"/>
      <c r="R157" s="19"/>
    </row>
    <row r="158" spans="9:18">
      <c r="I158" s="517"/>
      <c r="M158" s="19"/>
      <c r="N158" s="19"/>
      <c r="O158" s="19"/>
      <c r="P158" s="19"/>
      <c r="Q158" s="19"/>
      <c r="R158" s="19"/>
    </row>
    <row r="159" spans="9:18">
      <c r="I159" s="517"/>
      <c r="M159" s="19"/>
      <c r="N159" s="19"/>
      <c r="O159" s="19"/>
      <c r="P159" s="19"/>
      <c r="Q159" s="19"/>
      <c r="R159" s="19"/>
    </row>
    <row r="160" spans="9:18">
      <c r="I160" s="517"/>
      <c r="M160" s="19"/>
      <c r="N160" s="19"/>
      <c r="O160" s="19"/>
      <c r="P160" s="19"/>
      <c r="Q160" s="19"/>
      <c r="R160" s="19"/>
    </row>
    <row r="161" spans="9:18">
      <c r="I161" s="517"/>
      <c r="M161" s="19"/>
      <c r="N161" s="19"/>
      <c r="O161" s="19"/>
      <c r="P161" s="19"/>
      <c r="Q161" s="19"/>
      <c r="R161" s="19"/>
    </row>
    <row r="162" spans="9:18">
      <c r="I162" s="517"/>
      <c r="M162" s="19"/>
      <c r="N162" s="19"/>
      <c r="O162" s="19"/>
      <c r="P162" s="19"/>
      <c r="Q162" s="19"/>
      <c r="R162" s="19"/>
    </row>
    <row r="163" spans="9:18">
      <c r="I163" s="517"/>
      <c r="M163" s="19"/>
      <c r="N163" s="19"/>
      <c r="O163" s="19"/>
      <c r="P163" s="19"/>
      <c r="Q163" s="19"/>
      <c r="R163" s="19"/>
    </row>
    <row r="164" spans="9:18">
      <c r="I164" s="517"/>
      <c r="M164" s="19"/>
      <c r="N164" s="19"/>
      <c r="O164" s="19"/>
      <c r="P164" s="19"/>
      <c r="Q164" s="19"/>
      <c r="R164" s="19"/>
    </row>
    <row r="165" spans="9:18">
      <c r="I165" s="517"/>
      <c r="M165" s="19"/>
      <c r="N165" s="19"/>
      <c r="O165" s="19"/>
      <c r="P165" s="19"/>
      <c r="Q165" s="19"/>
      <c r="R165" s="19"/>
    </row>
    <row r="166" spans="9:18">
      <c r="I166" s="517"/>
      <c r="M166" s="19"/>
      <c r="N166" s="19"/>
      <c r="O166" s="19"/>
      <c r="P166" s="19"/>
      <c r="Q166" s="19"/>
      <c r="R166" s="19"/>
    </row>
    <row r="167" spans="9:18">
      <c r="I167" s="517"/>
      <c r="M167" s="19"/>
      <c r="N167" s="19"/>
      <c r="O167" s="19"/>
      <c r="P167" s="19"/>
      <c r="Q167" s="19"/>
      <c r="R167" s="19"/>
    </row>
    <row r="168" spans="9:18">
      <c r="I168" s="517"/>
      <c r="M168" s="19"/>
      <c r="N168" s="19"/>
      <c r="O168" s="19"/>
      <c r="P168" s="19"/>
      <c r="Q168" s="19"/>
      <c r="R168" s="19"/>
    </row>
    <row r="169" spans="9:18">
      <c r="I169" s="517"/>
      <c r="M169" s="19"/>
      <c r="N169" s="19"/>
      <c r="O169" s="19"/>
      <c r="P169" s="19"/>
      <c r="Q169" s="19"/>
      <c r="R169" s="19"/>
    </row>
    <row r="170" spans="9:18">
      <c r="I170" s="517"/>
      <c r="M170" s="19"/>
      <c r="N170" s="19"/>
      <c r="O170" s="19"/>
      <c r="P170" s="19"/>
      <c r="Q170" s="19"/>
      <c r="R170" s="19"/>
    </row>
    <row r="171" spans="9:18">
      <c r="I171" s="517"/>
      <c r="M171" s="19"/>
      <c r="N171" s="19"/>
      <c r="O171" s="19"/>
      <c r="P171" s="19"/>
      <c r="Q171" s="19"/>
      <c r="R171" s="19"/>
    </row>
    <row r="172" spans="9:18">
      <c r="I172" s="517"/>
      <c r="M172" s="19"/>
      <c r="N172" s="19"/>
      <c r="O172" s="19"/>
      <c r="P172" s="19"/>
      <c r="Q172" s="19"/>
      <c r="R172" s="19"/>
    </row>
    <row r="173" spans="9:18">
      <c r="I173" s="517"/>
      <c r="M173" s="19"/>
      <c r="N173" s="19"/>
      <c r="O173" s="19"/>
      <c r="P173" s="19"/>
      <c r="Q173" s="19"/>
      <c r="R173" s="19"/>
    </row>
    <row r="174" spans="9:18">
      <c r="I174" s="517"/>
      <c r="M174" s="19"/>
      <c r="N174" s="19"/>
      <c r="O174" s="19"/>
      <c r="P174" s="19"/>
      <c r="Q174" s="19"/>
      <c r="R174" s="19"/>
    </row>
    <row r="175" spans="9:18">
      <c r="I175" s="517"/>
      <c r="M175" s="19"/>
      <c r="N175" s="19"/>
      <c r="O175" s="19"/>
      <c r="P175" s="19"/>
      <c r="Q175" s="19"/>
      <c r="R175" s="19"/>
    </row>
    <row r="176" spans="9:18">
      <c r="I176" s="517"/>
      <c r="M176" s="19"/>
      <c r="N176" s="19"/>
      <c r="O176" s="19"/>
      <c r="P176" s="19"/>
      <c r="Q176" s="19"/>
      <c r="R176" s="19"/>
    </row>
    <row r="177" spans="9:18">
      <c r="I177" s="517"/>
      <c r="M177" s="19"/>
      <c r="N177" s="19"/>
      <c r="O177" s="19"/>
      <c r="P177" s="19"/>
      <c r="Q177" s="19"/>
      <c r="R177" s="19"/>
    </row>
    <row r="178" spans="9:18">
      <c r="I178" s="517"/>
      <c r="M178" s="19"/>
      <c r="N178" s="19"/>
      <c r="O178" s="19"/>
      <c r="P178" s="19"/>
      <c r="Q178" s="19"/>
      <c r="R178" s="19"/>
    </row>
    <row r="179" spans="9:18">
      <c r="I179" s="517"/>
      <c r="M179" s="19"/>
      <c r="N179" s="19"/>
      <c r="O179" s="19"/>
      <c r="P179" s="19"/>
      <c r="Q179" s="19"/>
      <c r="R179" s="19"/>
    </row>
    <row r="180" spans="9:18">
      <c r="I180" s="517"/>
      <c r="M180" s="19"/>
      <c r="N180" s="19"/>
      <c r="O180" s="19"/>
      <c r="P180" s="19"/>
      <c r="Q180" s="19"/>
      <c r="R180" s="19"/>
    </row>
    <row r="181" spans="9:18">
      <c r="I181" s="517"/>
      <c r="M181" s="19"/>
      <c r="N181" s="19"/>
      <c r="O181" s="19"/>
      <c r="P181" s="19"/>
      <c r="Q181" s="19"/>
      <c r="R181" s="19"/>
    </row>
    <row r="182" spans="9:18">
      <c r="I182" s="517"/>
      <c r="M182" s="19"/>
      <c r="N182" s="19"/>
      <c r="O182" s="19"/>
      <c r="P182" s="19"/>
      <c r="Q182" s="19"/>
      <c r="R182" s="19"/>
    </row>
    <row r="183" spans="9:18">
      <c r="I183" s="517"/>
      <c r="M183" s="19"/>
      <c r="N183" s="19"/>
      <c r="O183" s="19"/>
      <c r="P183" s="19"/>
      <c r="Q183" s="19"/>
      <c r="R183" s="19"/>
    </row>
    <row r="184" spans="9:18">
      <c r="I184" s="517"/>
      <c r="M184" s="19"/>
      <c r="N184" s="19"/>
      <c r="O184" s="19"/>
      <c r="P184" s="19"/>
      <c r="Q184" s="19"/>
      <c r="R184" s="19"/>
    </row>
    <row r="185" spans="9:18">
      <c r="I185" s="517"/>
      <c r="M185" s="19"/>
      <c r="N185" s="19"/>
      <c r="O185" s="19"/>
      <c r="P185" s="19"/>
      <c r="Q185" s="19"/>
      <c r="R185" s="19"/>
    </row>
    <row r="186" spans="9:18">
      <c r="I186" s="517"/>
      <c r="M186" s="19"/>
      <c r="N186" s="19"/>
      <c r="O186" s="19"/>
      <c r="P186" s="19"/>
      <c r="Q186" s="19"/>
      <c r="R186" s="19"/>
    </row>
    <row r="187" spans="9:18">
      <c r="I187" s="517"/>
      <c r="M187" s="19"/>
      <c r="N187" s="19"/>
      <c r="O187" s="19"/>
      <c r="P187" s="19"/>
      <c r="Q187" s="19"/>
      <c r="R187" s="19"/>
    </row>
    <row r="188" spans="9:18">
      <c r="I188" s="517"/>
      <c r="M188" s="19"/>
      <c r="N188" s="19"/>
      <c r="O188" s="19"/>
      <c r="P188" s="19"/>
      <c r="Q188" s="19"/>
      <c r="R188" s="19"/>
    </row>
    <row r="189" spans="9:18">
      <c r="I189" s="517"/>
      <c r="M189" s="19"/>
      <c r="N189" s="19"/>
      <c r="O189" s="19"/>
      <c r="P189" s="19"/>
      <c r="Q189" s="19"/>
      <c r="R189" s="19"/>
    </row>
    <row r="190" spans="9:18">
      <c r="I190" s="517"/>
      <c r="M190" s="19"/>
      <c r="N190" s="19"/>
      <c r="O190" s="19"/>
      <c r="P190" s="19"/>
      <c r="Q190" s="19"/>
      <c r="R190" s="19"/>
    </row>
    <row r="191" spans="9:18">
      <c r="I191" s="517"/>
      <c r="M191" s="19"/>
      <c r="N191" s="19"/>
      <c r="O191" s="19"/>
      <c r="P191" s="19"/>
      <c r="Q191" s="19"/>
      <c r="R191" s="19"/>
    </row>
    <row r="192" spans="9:18">
      <c r="I192" s="517"/>
      <c r="M192" s="19"/>
      <c r="N192" s="19"/>
      <c r="O192" s="19"/>
      <c r="P192" s="19"/>
      <c r="Q192" s="19"/>
      <c r="R192" s="19"/>
    </row>
    <row r="193" spans="9:18">
      <c r="I193" s="517"/>
      <c r="M193" s="19"/>
      <c r="N193" s="19"/>
      <c r="O193" s="19"/>
      <c r="P193" s="19"/>
      <c r="Q193" s="19"/>
      <c r="R193" s="19"/>
    </row>
    <row r="194" spans="9:18">
      <c r="I194" s="517"/>
      <c r="M194" s="19"/>
      <c r="N194" s="19"/>
      <c r="O194" s="19"/>
      <c r="P194" s="19"/>
      <c r="Q194" s="19"/>
      <c r="R194" s="19"/>
    </row>
    <row r="195" spans="9:18">
      <c r="I195" s="517"/>
      <c r="M195" s="19"/>
      <c r="N195" s="19"/>
      <c r="O195" s="19"/>
      <c r="P195" s="19"/>
      <c r="Q195" s="19"/>
      <c r="R195" s="19"/>
    </row>
    <row r="196" spans="9:18">
      <c r="I196" s="517"/>
      <c r="M196" s="19"/>
      <c r="N196" s="19"/>
      <c r="O196" s="19"/>
      <c r="P196" s="19"/>
      <c r="Q196" s="19"/>
      <c r="R196" s="19"/>
    </row>
    <row r="197" spans="9:18">
      <c r="I197" s="517"/>
      <c r="M197" s="19"/>
      <c r="N197" s="19"/>
      <c r="O197" s="19"/>
      <c r="P197" s="19"/>
      <c r="Q197" s="19"/>
      <c r="R197" s="19"/>
    </row>
    <row r="198" spans="9:18">
      <c r="I198" s="517"/>
      <c r="M198" s="19"/>
      <c r="N198" s="19"/>
      <c r="O198" s="19"/>
      <c r="P198" s="19"/>
      <c r="Q198" s="19"/>
      <c r="R198" s="19"/>
    </row>
    <row r="199" spans="9:18">
      <c r="I199" s="517"/>
      <c r="M199" s="19"/>
      <c r="N199" s="19"/>
      <c r="O199" s="19"/>
      <c r="P199" s="19"/>
      <c r="Q199" s="19"/>
      <c r="R199" s="19"/>
    </row>
    <row r="200" spans="9:18">
      <c r="I200" s="517"/>
      <c r="M200" s="19"/>
      <c r="N200" s="19"/>
      <c r="O200" s="19"/>
      <c r="P200" s="19"/>
      <c r="Q200" s="19"/>
      <c r="R200" s="19"/>
    </row>
    <row r="201" spans="9:18">
      <c r="I201" s="517"/>
      <c r="M201" s="19"/>
      <c r="N201" s="19"/>
      <c r="O201" s="19"/>
      <c r="P201" s="19"/>
      <c r="Q201" s="19"/>
      <c r="R201" s="19"/>
    </row>
    <row r="202" spans="9:18">
      <c r="I202" s="517"/>
      <c r="M202" s="19"/>
      <c r="N202" s="19"/>
      <c r="O202" s="19"/>
      <c r="P202" s="19"/>
      <c r="Q202" s="19"/>
      <c r="R202" s="19"/>
    </row>
    <row r="203" spans="9:18">
      <c r="I203" s="517"/>
      <c r="M203" s="19"/>
      <c r="N203" s="19"/>
      <c r="O203" s="19"/>
      <c r="P203" s="19"/>
      <c r="Q203" s="19"/>
      <c r="R203" s="19"/>
    </row>
    <row r="204" spans="9:18">
      <c r="I204" s="517"/>
      <c r="M204" s="19"/>
      <c r="N204" s="19"/>
      <c r="O204" s="19"/>
      <c r="P204" s="19"/>
      <c r="Q204" s="19"/>
      <c r="R204" s="19"/>
    </row>
    <row r="205" spans="9:18">
      <c r="I205" s="517"/>
      <c r="M205" s="19"/>
      <c r="N205" s="19"/>
      <c r="O205" s="19"/>
      <c r="P205" s="19"/>
      <c r="Q205" s="19"/>
      <c r="R205" s="19"/>
    </row>
    <row r="206" spans="9:18">
      <c r="I206" s="517"/>
      <c r="M206" s="19"/>
      <c r="N206" s="19"/>
      <c r="O206" s="19"/>
      <c r="P206" s="19"/>
      <c r="Q206" s="19"/>
      <c r="R206" s="19"/>
    </row>
    <row r="207" spans="9:18">
      <c r="I207" s="517"/>
      <c r="M207" s="19"/>
      <c r="N207" s="19"/>
      <c r="O207" s="19"/>
      <c r="P207" s="19"/>
      <c r="Q207" s="19"/>
      <c r="R207" s="19"/>
    </row>
    <row r="208" spans="9:18">
      <c r="I208" s="517"/>
      <c r="M208" s="19"/>
      <c r="N208" s="19"/>
      <c r="O208" s="19"/>
      <c r="P208" s="19"/>
      <c r="Q208" s="19"/>
      <c r="R208" s="19"/>
    </row>
    <row r="209" spans="9:18">
      <c r="I209" s="517"/>
      <c r="M209" s="19"/>
      <c r="N209" s="19"/>
      <c r="O209" s="19"/>
      <c r="P209" s="19"/>
      <c r="Q209" s="19"/>
      <c r="R209" s="19"/>
    </row>
    <row r="210" spans="9:18">
      <c r="I210" s="517"/>
      <c r="M210" s="19"/>
      <c r="N210" s="19"/>
      <c r="O210" s="19"/>
      <c r="P210" s="19"/>
      <c r="Q210" s="19"/>
      <c r="R210" s="19"/>
    </row>
    <row r="211" spans="9:18">
      <c r="I211" s="517"/>
      <c r="M211" s="19"/>
      <c r="N211" s="19"/>
      <c r="O211" s="19"/>
      <c r="P211" s="19"/>
      <c r="Q211" s="19"/>
      <c r="R211" s="19"/>
    </row>
    <row r="212" spans="9:18">
      <c r="I212" s="517"/>
      <c r="M212" s="19"/>
      <c r="N212" s="19"/>
      <c r="O212" s="19"/>
      <c r="P212" s="19"/>
      <c r="Q212" s="19"/>
      <c r="R212" s="19"/>
    </row>
    <row r="213" spans="9:18">
      <c r="I213" s="517"/>
      <c r="M213" s="19"/>
      <c r="N213" s="19"/>
      <c r="O213" s="19"/>
      <c r="P213" s="19"/>
      <c r="Q213" s="19"/>
      <c r="R213" s="19"/>
    </row>
    <row r="214" spans="9:18">
      <c r="I214" s="517"/>
      <c r="M214" s="19"/>
      <c r="N214" s="19"/>
      <c r="O214" s="19"/>
      <c r="P214" s="19"/>
      <c r="Q214" s="19"/>
      <c r="R214" s="19"/>
    </row>
    <row r="215" spans="9:18">
      <c r="I215" s="517"/>
      <c r="M215" s="19"/>
      <c r="N215" s="19"/>
      <c r="O215" s="19"/>
      <c r="P215" s="19"/>
      <c r="Q215" s="19"/>
      <c r="R215" s="19"/>
    </row>
    <row r="216" spans="9:18">
      <c r="I216" s="517"/>
      <c r="M216" s="19"/>
      <c r="N216" s="19"/>
      <c r="O216" s="19"/>
      <c r="P216" s="19"/>
      <c r="Q216" s="19"/>
      <c r="R216" s="19"/>
    </row>
    <row r="217" spans="9:18">
      <c r="I217" s="517"/>
      <c r="M217" s="19"/>
      <c r="N217" s="19"/>
      <c r="O217" s="19"/>
      <c r="P217" s="19"/>
      <c r="Q217" s="19"/>
      <c r="R217" s="19"/>
    </row>
    <row r="218" spans="9:18">
      <c r="I218" s="517"/>
      <c r="M218" s="19"/>
      <c r="N218" s="19"/>
      <c r="O218" s="19"/>
      <c r="P218" s="19"/>
      <c r="Q218" s="19"/>
      <c r="R218" s="19"/>
    </row>
    <row r="219" spans="9:18">
      <c r="I219" s="517"/>
      <c r="M219" s="19"/>
      <c r="N219" s="19"/>
      <c r="O219" s="19"/>
      <c r="P219" s="19"/>
      <c r="Q219" s="19"/>
      <c r="R219" s="19"/>
    </row>
    <row r="220" spans="9:18">
      <c r="I220" s="517"/>
      <c r="M220" s="19"/>
      <c r="N220" s="19"/>
      <c r="O220" s="19"/>
      <c r="P220" s="19"/>
      <c r="Q220" s="19"/>
      <c r="R220" s="19"/>
    </row>
    <row r="221" spans="9:18">
      <c r="I221" s="517"/>
      <c r="M221" s="19"/>
      <c r="N221" s="19"/>
      <c r="O221" s="19"/>
      <c r="P221" s="19"/>
      <c r="Q221" s="19"/>
      <c r="R221" s="19"/>
    </row>
    <row r="222" spans="9:18">
      <c r="I222" s="517"/>
      <c r="M222" s="19"/>
      <c r="N222" s="19"/>
      <c r="O222" s="19"/>
      <c r="P222" s="19"/>
      <c r="Q222" s="19"/>
      <c r="R222" s="19"/>
    </row>
    <row r="223" spans="9:18">
      <c r="I223" s="517"/>
      <c r="M223" s="19"/>
      <c r="N223" s="19"/>
      <c r="O223" s="19"/>
      <c r="P223" s="19"/>
      <c r="Q223" s="19"/>
      <c r="R223" s="19"/>
    </row>
    <row r="224" spans="9:18">
      <c r="I224" s="517"/>
      <c r="M224" s="19"/>
      <c r="N224" s="19"/>
      <c r="O224" s="19"/>
      <c r="P224" s="19"/>
      <c r="Q224" s="19"/>
      <c r="R224" s="19"/>
    </row>
    <row r="225" spans="9:18">
      <c r="I225" s="517"/>
      <c r="M225" s="19"/>
      <c r="N225" s="19"/>
      <c r="O225" s="19"/>
      <c r="P225" s="19"/>
      <c r="Q225" s="19"/>
      <c r="R225" s="19"/>
    </row>
    <row r="226" spans="9:18">
      <c r="I226" s="517"/>
      <c r="M226" s="19"/>
      <c r="N226" s="19"/>
      <c r="O226" s="19"/>
      <c r="P226" s="19"/>
      <c r="Q226" s="19"/>
      <c r="R226" s="19"/>
    </row>
    <row r="227" spans="9:18">
      <c r="I227" s="517"/>
      <c r="M227" s="19"/>
      <c r="N227" s="19"/>
      <c r="O227" s="19"/>
      <c r="P227" s="19"/>
      <c r="Q227" s="19"/>
      <c r="R227" s="19"/>
    </row>
    <row r="228" spans="9:18">
      <c r="I228" s="517"/>
      <c r="M228" s="19"/>
      <c r="N228" s="19"/>
      <c r="O228" s="19"/>
      <c r="P228" s="19"/>
      <c r="Q228" s="19"/>
      <c r="R228" s="19"/>
    </row>
    <row r="229" spans="9:18">
      <c r="I229" s="517"/>
      <c r="M229" s="19"/>
      <c r="N229" s="19"/>
      <c r="O229" s="19"/>
      <c r="P229" s="19"/>
      <c r="Q229" s="19"/>
      <c r="R229" s="19"/>
    </row>
    <row r="230" spans="9:18">
      <c r="I230" s="517"/>
      <c r="M230" s="19"/>
      <c r="N230" s="19"/>
      <c r="O230" s="19"/>
      <c r="P230" s="19"/>
      <c r="Q230" s="19"/>
      <c r="R230" s="19"/>
    </row>
    <row r="231" spans="9:18">
      <c r="I231" s="517"/>
      <c r="M231" s="19"/>
      <c r="N231" s="19"/>
      <c r="O231" s="19"/>
      <c r="P231" s="19"/>
      <c r="Q231" s="19"/>
      <c r="R231" s="19"/>
    </row>
    <row r="232" spans="9:18">
      <c r="I232" s="517"/>
      <c r="M232" s="19"/>
      <c r="N232" s="19"/>
      <c r="O232" s="19"/>
      <c r="P232" s="19"/>
      <c r="Q232" s="19"/>
      <c r="R232" s="19"/>
    </row>
    <row r="233" spans="9:18">
      <c r="I233" s="517"/>
      <c r="M233" s="19"/>
      <c r="N233" s="19"/>
      <c r="O233" s="19"/>
      <c r="P233" s="19"/>
      <c r="Q233" s="19"/>
      <c r="R233" s="19"/>
    </row>
    <row r="234" spans="9:18">
      <c r="I234" s="517"/>
      <c r="M234" s="19"/>
      <c r="N234" s="19"/>
      <c r="O234" s="19"/>
      <c r="P234" s="19"/>
      <c r="Q234" s="19"/>
      <c r="R234" s="19"/>
    </row>
    <row r="235" spans="9:18">
      <c r="I235" s="517"/>
      <c r="M235" s="19"/>
      <c r="N235" s="19"/>
      <c r="O235" s="19"/>
      <c r="P235" s="19"/>
      <c r="Q235" s="19"/>
      <c r="R235" s="19"/>
    </row>
    <row r="236" spans="9:18">
      <c r="I236" s="517"/>
      <c r="M236" s="19"/>
      <c r="N236" s="19"/>
      <c r="O236" s="19"/>
      <c r="P236" s="19"/>
      <c r="Q236" s="19"/>
      <c r="R236" s="19"/>
    </row>
    <row r="237" spans="9:18">
      <c r="I237" s="517"/>
      <c r="M237" s="19"/>
      <c r="N237" s="19"/>
      <c r="O237" s="19"/>
      <c r="P237" s="19"/>
      <c r="Q237" s="19"/>
      <c r="R237" s="19"/>
    </row>
    <row r="238" spans="9:18">
      <c r="I238" s="517"/>
      <c r="M238" s="19"/>
      <c r="N238" s="19"/>
      <c r="O238" s="19"/>
      <c r="P238" s="19"/>
      <c r="Q238" s="19"/>
      <c r="R238" s="19"/>
    </row>
    <row r="239" spans="9:18">
      <c r="I239" s="517"/>
      <c r="M239" s="19"/>
      <c r="N239" s="19"/>
      <c r="O239" s="19"/>
      <c r="P239" s="19"/>
      <c r="Q239" s="19"/>
      <c r="R239" s="19"/>
    </row>
    <row r="240" spans="9:18">
      <c r="I240" s="517"/>
      <c r="M240" s="19"/>
      <c r="N240" s="19"/>
      <c r="O240" s="19"/>
      <c r="P240" s="19"/>
      <c r="Q240" s="19"/>
      <c r="R240" s="19"/>
    </row>
    <row r="241" spans="9:18">
      <c r="I241" s="517"/>
      <c r="M241" s="19"/>
      <c r="N241" s="19"/>
      <c r="O241" s="19"/>
      <c r="P241" s="19"/>
      <c r="Q241" s="19"/>
      <c r="R241" s="19"/>
    </row>
    <row r="242" spans="9:18">
      <c r="I242" s="517"/>
      <c r="M242" s="19"/>
      <c r="N242" s="19"/>
      <c r="O242" s="19"/>
      <c r="P242" s="19"/>
      <c r="Q242" s="19"/>
      <c r="R242" s="19"/>
    </row>
    <row r="243" spans="9:18">
      <c r="I243" s="517"/>
      <c r="M243" s="19"/>
      <c r="N243" s="19"/>
      <c r="O243" s="19"/>
      <c r="P243" s="19"/>
      <c r="Q243" s="19"/>
      <c r="R243" s="19"/>
    </row>
    <row r="244" spans="9:18">
      <c r="I244" s="517"/>
      <c r="M244" s="19"/>
      <c r="N244" s="19"/>
      <c r="O244" s="19"/>
      <c r="P244" s="19"/>
      <c r="Q244" s="19"/>
      <c r="R244" s="19"/>
    </row>
    <row r="245" spans="9:18">
      <c r="I245" s="517"/>
      <c r="M245" s="19"/>
      <c r="N245" s="19"/>
      <c r="O245" s="19"/>
      <c r="P245" s="19"/>
      <c r="Q245" s="19"/>
      <c r="R245" s="19"/>
    </row>
    <row r="246" spans="9:18">
      <c r="I246" s="517"/>
      <c r="M246" s="19"/>
      <c r="N246" s="19"/>
      <c r="O246" s="19"/>
      <c r="P246" s="19"/>
      <c r="Q246" s="19"/>
      <c r="R246" s="19"/>
    </row>
    <row r="247" spans="9:18">
      <c r="I247" s="517"/>
      <c r="M247" s="19"/>
      <c r="N247" s="19"/>
      <c r="O247" s="19"/>
      <c r="P247" s="19"/>
      <c r="Q247" s="19"/>
      <c r="R247" s="19"/>
    </row>
    <row r="248" spans="9:18">
      <c r="I248" s="517"/>
      <c r="M248" s="19"/>
      <c r="N248" s="19"/>
      <c r="O248" s="19"/>
      <c r="P248" s="19"/>
      <c r="Q248" s="19"/>
      <c r="R248" s="19"/>
    </row>
    <row r="249" spans="9:18">
      <c r="I249" s="517"/>
      <c r="M249" s="19"/>
      <c r="N249" s="19"/>
      <c r="O249" s="19"/>
      <c r="P249" s="19"/>
      <c r="Q249" s="19"/>
      <c r="R249" s="19"/>
    </row>
    <row r="250" spans="9:18">
      <c r="I250" s="517"/>
      <c r="M250" s="19"/>
      <c r="N250" s="19"/>
      <c r="O250" s="19"/>
      <c r="P250" s="19"/>
      <c r="Q250" s="19"/>
      <c r="R250" s="19"/>
    </row>
    <row r="251" spans="9:18">
      <c r="I251" s="517"/>
      <c r="M251" s="19"/>
      <c r="N251" s="19"/>
      <c r="O251" s="19"/>
      <c r="P251" s="19"/>
      <c r="Q251" s="19"/>
      <c r="R251" s="19"/>
    </row>
    <row r="252" spans="9:18">
      <c r="I252" s="517"/>
      <c r="M252" s="19"/>
      <c r="N252" s="19"/>
      <c r="O252" s="19"/>
      <c r="P252" s="19"/>
      <c r="Q252" s="19"/>
      <c r="R252" s="19"/>
    </row>
    <row r="253" spans="9:18">
      <c r="I253" s="517"/>
      <c r="M253" s="19"/>
      <c r="N253" s="19"/>
      <c r="O253" s="19"/>
      <c r="P253" s="19"/>
      <c r="Q253" s="19"/>
      <c r="R253" s="19"/>
    </row>
    <row r="254" spans="9:18">
      <c r="I254" s="517"/>
      <c r="M254" s="19"/>
      <c r="N254" s="19"/>
      <c r="O254" s="19"/>
      <c r="P254" s="19"/>
      <c r="Q254" s="19"/>
      <c r="R254" s="19"/>
    </row>
    <row r="255" spans="9:18">
      <c r="I255" s="517"/>
      <c r="M255" s="19"/>
      <c r="N255" s="19"/>
      <c r="O255" s="19"/>
      <c r="P255" s="19"/>
      <c r="Q255" s="19"/>
      <c r="R255" s="19"/>
    </row>
    <row r="256" spans="9:18">
      <c r="I256" s="517"/>
      <c r="M256" s="19"/>
      <c r="N256" s="19"/>
      <c r="O256" s="19"/>
      <c r="P256" s="19"/>
      <c r="Q256" s="19"/>
      <c r="R256" s="19"/>
    </row>
    <row r="257" spans="9:18">
      <c r="I257" s="517"/>
      <c r="M257" s="19"/>
      <c r="N257" s="19"/>
      <c r="O257" s="19"/>
      <c r="P257" s="19"/>
      <c r="Q257" s="19"/>
      <c r="R257" s="19"/>
    </row>
    <row r="258" spans="9:18">
      <c r="I258" s="517"/>
      <c r="M258" s="19"/>
      <c r="N258" s="19"/>
      <c r="O258" s="19"/>
      <c r="P258" s="19"/>
      <c r="Q258" s="19"/>
      <c r="R258" s="19"/>
    </row>
    <row r="259" spans="9:18">
      <c r="I259" s="517"/>
      <c r="M259" s="19"/>
      <c r="N259" s="19"/>
      <c r="O259" s="19"/>
      <c r="P259" s="19"/>
      <c r="Q259" s="19"/>
      <c r="R259" s="19"/>
    </row>
    <row r="260" spans="9:18">
      <c r="I260" s="517"/>
      <c r="M260" s="19"/>
      <c r="N260" s="19"/>
      <c r="O260" s="19"/>
      <c r="P260" s="19"/>
      <c r="Q260" s="19"/>
      <c r="R260" s="19"/>
    </row>
    <row r="261" spans="9:18">
      <c r="I261" s="517"/>
      <c r="M261" s="19"/>
      <c r="N261" s="19"/>
      <c r="O261" s="19"/>
      <c r="P261" s="19"/>
      <c r="Q261" s="19"/>
      <c r="R261" s="19"/>
    </row>
    <row r="262" spans="9:18">
      <c r="I262" s="517"/>
      <c r="M262" s="19"/>
      <c r="N262" s="19"/>
      <c r="O262" s="19"/>
      <c r="P262" s="19"/>
      <c r="Q262" s="19"/>
      <c r="R262" s="19"/>
    </row>
    <row r="263" spans="9:18">
      <c r="I263" s="517"/>
      <c r="M263" s="19"/>
      <c r="N263" s="19"/>
      <c r="O263" s="19"/>
      <c r="P263" s="19"/>
      <c r="Q263" s="19"/>
      <c r="R263" s="19"/>
    </row>
    <row r="264" spans="9:18">
      <c r="I264" s="517"/>
      <c r="M264" s="19"/>
      <c r="N264" s="19"/>
      <c r="O264" s="19"/>
      <c r="P264" s="19"/>
      <c r="Q264" s="19"/>
      <c r="R264" s="19"/>
    </row>
    <row r="265" spans="9:18">
      <c r="I265" s="517"/>
      <c r="M265" s="19"/>
      <c r="N265" s="19"/>
      <c r="O265" s="19"/>
      <c r="P265" s="19"/>
      <c r="Q265" s="19"/>
      <c r="R265" s="19"/>
    </row>
    <row r="266" spans="9:18">
      <c r="I266" s="517"/>
      <c r="M266" s="19"/>
      <c r="N266" s="19"/>
      <c r="O266" s="19"/>
      <c r="P266" s="19"/>
      <c r="Q266" s="19"/>
      <c r="R266" s="19"/>
    </row>
    <row r="267" spans="9:18">
      <c r="I267" s="517"/>
      <c r="M267" s="19"/>
      <c r="N267" s="19"/>
      <c r="O267" s="19"/>
      <c r="P267" s="19"/>
      <c r="Q267" s="19"/>
      <c r="R267" s="19"/>
    </row>
    <row r="268" spans="9:18">
      <c r="I268" s="517"/>
      <c r="M268" s="19"/>
      <c r="N268" s="19"/>
      <c r="O268" s="19"/>
      <c r="P268" s="19"/>
      <c r="Q268" s="19"/>
      <c r="R268" s="19"/>
    </row>
    <row r="269" spans="9:18">
      <c r="I269" s="517"/>
      <c r="M269" s="19"/>
      <c r="N269" s="19"/>
      <c r="O269" s="19"/>
      <c r="P269" s="19"/>
      <c r="Q269" s="19"/>
      <c r="R269" s="19"/>
    </row>
    <row r="270" spans="9:18">
      <c r="I270" s="517"/>
      <c r="M270" s="19"/>
      <c r="N270" s="19"/>
      <c r="O270" s="19"/>
      <c r="P270" s="19"/>
      <c r="Q270" s="19"/>
      <c r="R270" s="19"/>
    </row>
    <row r="271" spans="9:18">
      <c r="I271" s="517"/>
      <c r="M271" s="19"/>
      <c r="N271" s="19"/>
      <c r="O271" s="19"/>
      <c r="P271" s="19"/>
      <c r="Q271" s="19"/>
      <c r="R271" s="19"/>
    </row>
    <row r="272" spans="9:18">
      <c r="I272" s="517"/>
      <c r="M272" s="19"/>
      <c r="N272" s="19"/>
      <c r="O272" s="19"/>
      <c r="P272" s="19"/>
      <c r="Q272" s="19"/>
      <c r="R272" s="19"/>
    </row>
    <row r="273" spans="9:18">
      <c r="I273" s="517"/>
      <c r="M273" s="19"/>
      <c r="N273" s="19"/>
      <c r="O273" s="19"/>
      <c r="P273" s="19"/>
      <c r="Q273" s="19"/>
      <c r="R273" s="19"/>
    </row>
    <row r="274" spans="9:18">
      <c r="I274" s="517"/>
      <c r="M274" s="19"/>
      <c r="N274" s="19"/>
      <c r="O274" s="19"/>
      <c r="P274" s="19"/>
      <c r="Q274" s="19"/>
      <c r="R274" s="19"/>
    </row>
    <row r="275" spans="9:18">
      <c r="I275" s="517"/>
      <c r="M275" s="19"/>
      <c r="N275" s="19"/>
      <c r="O275" s="19"/>
      <c r="P275" s="19"/>
      <c r="Q275" s="19"/>
      <c r="R275" s="19"/>
    </row>
    <row r="276" spans="9:18">
      <c r="I276" s="517"/>
      <c r="M276" s="19"/>
      <c r="N276" s="19"/>
      <c r="O276" s="19"/>
      <c r="P276" s="19"/>
      <c r="Q276" s="19"/>
      <c r="R276" s="19"/>
    </row>
    <row r="277" spans="9:18">
      <c r="I277" s="517"/>
      <c r="M277" s="19"/>
      <c r="N277" s="19"/>
      <c r="O277" s="19"/>
      <c r="P277" s="19"/>
      <c r="Q277" s="19"/>
      <c r="R277" s="19"/>
    </row>
    <row r="278" spans="9:18">
      <c r="I278" s="517"/>
      <c r="M278" s="19"/>
      <c r="N278" s="19"/>
      <c r="O278" s="19"/>
      <c r="P278" s="19"/>
      <c r="Q278" s="19"/>
      <c r="R278" s="19"/>
    </row>
    <row r="279" spans="9:18">
      <c r="I279" s="517"/>
      <c r="M279" s="19"/>
      <c r="N279" s="19"/>
      <c r="O279" s="19"/>
      <c r="P279" s="19"/>
      <c r="Q279" s="19"/>
      <c r="R279" s="19"/>
    </row>
    <row r="280" spans="9:18">
      <c r="I280" s="517"/>
      <c r="M280" s="19"/>
      <c r="N280" s="19"/>
      <c r="O280" s="19"/>
      <c r="P280" s="19"/>
      <c r="Q280" s="19"/>
      <c r="R280" s="19"/>
    </row>
    <row r="281" spans="9:18">
      <c r="I281" s="517"/>
      <c r="M281" s="19"/>
      <c r="N281" s="19"/>
      <c r="O281" s="19"/>
      <c r="P281" s="19"/>
      <c r="Q281" s="19"/>
      <c r="R281" s="19"/>
    </row>
    <row r="282" spans="9:18">
      <c r="I282" s="517"/>
      <c r="M282" s="19"/>
      <c r="N282" s="19"/>
      <c r="O282" s="19"/>
      <c r="P282" s="19"/>
      <c r="Q282" s="19"/>
      <c r="R282" s="19"/>
    </row>
    <row r="283" spans="9:18">
      <c r="I283" s="517"/>
      <c r="M283" s="19"/>
      <c r="N283" s="19"/>
      <c r="O283" s="19"/>
      <c r="P283" s="19"/>
      <c r="Q283" s="19"/>
      <c r="R283" s="19"/>
    </row>
    <row r="284" spans="9:18">
      <c r="I284" s="517"/>
      <c r="M284" s="19"/>
      <c r="N284" s="19"/>
      <c r="O284" s="19"/>
      <c r="P284" s="19"/>
      <c r="Q284" s="19"/>
      <c r="R284" s="19"/>
    </row>
    <row r="285" spans="9:18">
      <c r="M285" s="19"/>
      <c r="N285" s="19"/>
      <c r="O285" s="19"/>
      <c r="P285" s="19"/>
      <c r="Q285" s="19"/>
      <c r="R285" s="19"/>
    </row>
    <row r="286" spans="9:18">
      <c r="M286" s="19"/>
      <c r="N286" s="19"/>
      <c r="O286" s="19"/>
      <c r="P286" s="19"/>
      <c r="Q286" s="19"/>
      <c r="R286" s="19"/>
    </row>
    <row r="287" spans="9:18">
      <c r="M287" s="19"/>
      <c r="N287" s="19"/>
      <c r="O287" s="19"/>
      <c r="P287" s="19"/>
      <c r="Q287" s="19"/>
      <c r="R287" s="19"/>
    </row>
    <row r="288" spans="9:18">
      <c r="M288" s="19"/>
      <c r="N288" s="19"/>
      <c r="O288" s="19"/>
      <c r="P288" s="19"/>
      <c r="Q288" s="19"/>
      <c r="R288" s="19"/>
    </row>
    <row r="289" spans="13:18">
      <c r="M289" s="19"/>
      <c r="N289" s="19"/>
      <c r="O289" s="19"/>
      <c r="P289" s="19"/>
      <c r="Q289" s="19"/>
      <c r="R289" s="19"/>
    </row>
    <row r="290" spans="13:18">
      <c r="M290" s="19"/>
      <c r="N290" s="19"/>
      <c r="O290" s="19"/>
      <c r="P290" s="19"/>
      <c r="Q290" s="19"/>
      <c r="R290" s="19"/>
    </row>
    <row r="291" spans="13:18">
      <c r="M291" s="19"/>
      <c r="N291" s="19"/>
      <c r="O291" s="19"/>
      <c r="P291" s="19"/>
      <c r="Q291" s="19"/>
      <c r="R291" s="19"/>
    </row>
    <row r="292" spans="13:18">
      <c r="M292" s="19"/>
      <c r="N292" s="19"/>
      <c r="O292" s="19"/>
      <c r="P292" s="19"/>
      <c r="Q292" s="19"/>
      <c r="R292" s="19"/>
    </row>
    <row r="293" spans="13:18">
      <c r="M293" s="19"/>
      <c r="N293" s="19"/>
      <c r="O293" s="19"/>
      <c r="P293" s="19"/>
      <c r="Q293" s="19"/>
      <c r="R293" s="19"/>
    </row>
    <row r="294" spans="13:18">
      <c r="M294" s="19"/>
      <c r="N294" s="19"/>
      <c r="O294" s="19"/>
      <c r="P294" s="19"/>
      <c r="Q294" s="19"/>
      <c r="R294" s="19"/>
    </row>
    <row r="295" spans="13:18">
      <c r="M295" s="19"/>
      <c r="N295" s="19"/>
      <c r="O295" s="19"/>
      <c r="P295" s="19"/>
      <c r="Q295" s="19"/>
      <c r="R295" s="19"/>
    </row>
    <row r="296" spans="13:18">
      <c r="M296" s="19"/>
      <c r="N296" s="19"/>
      <c r="O296" s="19"/>
      <c r="P296" s="19"/>
      <c r="Q296" s="19"/>
      <c r="R296" s="19"/>
    </row>
    <row r="297" spans="13:18">
      <c r="M297" s="19"/>
      <c r="N297" s="19"/>
      <c r="O297" s="19"/>
      <c r="P297" s="19"/>
      <c r="Q297" s="19"/>
      <c r="R297" s="19"/>
    </row>
    <row r="298" spans="13:18">
      <c r="M298" s="19"/>
      <c r="N298" s="19"/>
      <c r="O298" s="19"/>
      <c r="P298" s="19"/>
      <c r="Q298" s="19"/>
      <c r="R298" s="19"/>
    </row>
    <row r="299" spans="13:18">
      <c r="M299" s="19"/>
      <c r="N299" s="19"/>
      <c r="O299" s="19"/>
      <c r="P299" s="19"/>
      <c r="Q299" s="19"/>
      <c r="R299" s="19"/>
    </row>
    <row r="300" spans="13:18">
      <c r="M300" s="19"/>
      <c r="N300" s="19"/>
      <c r="O300" s="19"/>
      <c r="P300" s="19"/>
      <c r="Q300" s="19"/>
      <c r="R300" s="19"/>
    </row>
    <row r="301" spans="13:18">
      <c r="M301" s="19"/>
      <c r="N301" s="19"/>
      <c r="O301" s="19"/>
      <c r="P301" s="19"/>
      <c r="Q301" s="19"/>
      <c r="R301" s="19"/>
    </row>
    <row r="302" spans="13:18">
      <c r="M302" s="19"/>
      <c r="N302" s="19"/>
      <c r="O302" s="19"/>
      <c r="P302" s="19"/>
      <c r="Q302" s="19"/>
      <c r="R302" s="19"/>
    </row>
    <row r="303" spans="13:18">
      <c r="M303" s="19"/>
      <c r="N303" s="19"/>
      <c r="O303" s="19"/>
      <c r="P303" s="19"/>
      <c r="Q303" s="19"/>
      <c r="R303" s="19"/>
    </row>
    <row r="304" spans="13:18">
      <c r="M304" s="19"/>
      <c r="N304" s="19"/>
      <c r="O304" s="19"/>
      <c r="P304" s="19"/>
      <c r="Q304" s="19"/>
      <c r="R304" s="19"/>
    </row>
    <row r="305" spans="13:18">
      <c r="M305" s="19"/>
      <c r="N305" s="19"/>
      <c r="O305" s="19"/>
      <c r="P305" s="19"/>
      <c r="Q305" s="19"/>
      <c r="R305" s="19"/>
    </row>
    <row r="306" spans="13:18">
      <c r="M306" s="19"/>
      <c r="N306" s="19"/>
      <c r="O306" s="19"/>
      <c r="P306" s="19"/>
      <c r="Q306" s="19"/>
      <c r="R306" s="19"/>
    </row>
    <row r="307" spans="13:18">
      <c r="M307" s="19"/>
      <c r="N307" s="19"/>
      <c r="O307" s="19"/>
      <c r="P307" s="19"/>
      <c r="Q307" s="19"/>
      <c r="R307" s="19"/>
    </row>
    <row r="308" spans="13:18">
      <c r="M308" s="19"/>
      <c r="N308" s="19"/>
      <c r="O308" s="19"/>
      <c r="P308" s="19"/>
      <c r="Q308" s="19"/>
      <c r="R308" s="19"/>
    </row>
    <row r="309" spans="13:18">
      <c r="M309" s="19"/>
      <c r="N309" s="19"/>
      <c r="O309" s="19"/>
      <c r="P309" s="19"/>
      <c r="Q309" s="19"/>
      <c r="R309" s="19"/>
    </row>
    <row r="310" spans="13:18">
      <c r="M310" s="19"/>
      <c r="N310" s="19"/>
      <c r="O310" s="19"/>
      <c r="P310" s="19"/>
      <c r="Q310" s="19"/>
      <c r="R310" s="19"/>
    </row>
    <row r="311" spans="13:18">
      <c r="M311" s="19"/>
      <c r="N311" s="19"/>
      <c r="O311" s="19"/>
      <c r="P311" s="19"/>
      <c r="Q311" s="19"/>
      <c r="R311" s="19"/>
    </row>
    <row r="312" spans="13:18">
      <c r="M312" s="19"/>
      <c r="N312" s="19"/>
      <c r="O312" s="19"/>
      <c r="P312" s="19"/>
      <c r="Q312" s="19"/>
      <c r="R312" s="19"/>
    </row>
    <row r="313" spans="13:18">
      <c r="M313" s="19"/>
      <c r="N313" s="19"/>
      <c r="O313" s="19"/>
      <c r="P313" s="19"/>
      <c r="Q313" s="19"/>
      <c r="R313" s="19"/>
    </row>
    <row r="314" spans="13:18">
      <c r="M314" s="19"/>
      <c r="N314" s="19"/>
      <c r="O314" s="19"/>
      <c r="P314" s="19"/>
      <c r="Q314" s="19"/>
      <c r="R314" s="19"/>
    </row>
    <row r="315" spans="13:18">
      <c r="M315" s="19"/>
      <c r="N315" s="19"/>
      <c r="O315" s="19"/>
      <c r="P315" s="19"/>
      <c r="Q315" s="19"/>
      <c r="R315" s="19"/>
    </row>
    <row r="316" spans="13:18">
      <c r="M316" s="19"/>
      <c r="N316" s="19"/>
      <c r="O316" s="19"/>
      <c r="P316" s="19"/>
      <c r="Q316" s="19"/>
      <c r="R316" s="19"/>
    </row>
    <row r="317" spans="13:18">
      <c r="M317" s="19"/>
      <c r="N317" s="19"/>
      <c r="O317" s="19"/>
      <c r="P317" s="19"/>
      <c r="Q317" s="19"/>
      <c r="R317" s="19"/>
    </row>
    <row r="318" spans="13:18">
      <c r="M318" s="19"/>
      <c r="N318" s="19"/>
      <c r="O318" s="19"/>
      <c r="P318" s="19"/>
      <c r="Q318" s="19"/>
      <c r="R318" s="19"/>
    </row>
    <row r="319" spans="13:18">
      <c r="M319" s="19"/>
      <c r="N319" s="19"/>
      <c r="O319" s="19"/>
      <c r="P319" s="19"/>
      <c r="Q319" s="19"/>
      <c r="R319" s="19"/>
    </row>
    <row r="320" spans="13:18">
      <c r="M320" s="19"/>
      <c r="N320" s="19"/>
      <c r="O320" s="19"/>
      <c r="P320" s="19"/>
      <c r="Q320" s="19"/>
      <c r="R320" s="19"/>
    </row>
    <row r="321" spans="13:18">
      <c r="M321" s="19"/>
      <c r="N321" s="19"/>
      <c r="O321" s="19"/>
      <c r="P321" s="19"/>
      <c r="Q321" s="19"/>
      <c r="R321" s="19"/>
    </row>
    <row r="322" spans="13:18">
      <c r="M322" s="19"/>
      <c r="N322" s="19"/>
      <c r="O322" s="19"/>
      <c r="P322" s="19"/>
      <c r="Q322" s="19"/>
      <c r="R322" s="19"/>
    </row>
    <row r="323" spans="13:18">
      <c r="M323" s="19"/>
      <c r="N323" s="19"/>
      <c r="O323" s="19"/>
      <c r="P323" s="19"/>
      <c r="Q323" s="19"/>
      <c r="R323" s="19"/>
    </row>
    <row r="324" spans="13:18">
      <c r="M324" s="19"/>
      <c r="N324" s="19"/>
      <c r="O324" s="19"/>
      <c r="P324" s="19"/>
      <c r="Q324" s="19"/>
      <c r="R324" s="19"/>
    </row>
    <row r="325" spans="13:18">
      <c r="M325" s="19"/>
      <c r="N325" s="19"/>
      <c r="O325" s="19"/>
      <c r="P325" s="19"/>
      <c r="Q325" s="19"/>
      <c r="R325" s="19"/>
    </row>
    <row r="326" spans="13:18">
      <c r="M326" s="19"/>
      <c r="N326" s="19"/>
      <c r="O326" s="19"/>
      <c r="P326" s="19"/>
      <c r="Q326" s="19"/>
      <c r="R326" s="19"/>
    </row>
    <row r="327" spans="13:18">
      <c r="M327" s="19"/>
      <c r="N327" s="19"/>
      <c r="O327" s="19"/>
      <c r="P327" s="19"/>
      <c r="Q327" s="19"/>
      <c r="R327" s="19"/>
    </row>
    <row r="328" spans="13:18">
      <c r="M328" s="19"/>
      <c r="N328" s="19"/>
      <c r="O328" s="19"/>
      <c r="P328" s="19"/>
      <c r="Q328" s="19"/>
      <c r="R328" s="19"/>
    </row>
    <row r="329" spans="13:18">
      <c r="M329" s="19"/>
      <c r="N329" s="19"/>
      <c r="O329" s="19"/>
      <c r="P329" s="19"/>
      <c r="Q329" s="19"/>
      <c r="R329" s="19"/>
    </row>
    <row r="330" spans="13:18">
      <c r="M330" s="19"/>
      <c r="N330" s="19"/>
      <c r="O330" s="19"/>
      <c r="P330" s="19"/>
      <c r="Q330" s="19"/>
      <c r="R330" s="19"/>
    </row>
    <row r="331" spans="13:18">
      <c r="M331" s="19"/>
      <c r="N331" s="19"/>
      <c r="O331" s="19"/>
      <c r="P331" s="19"/>
      <c r="Q331" s="19"/>
      <c r="R331" s="19"/>
    </row>
    <row r="332" spans="13:18">
      <c r="M332" s="19"/>
      <c r="N332" s="19"/>
      <c r="O332" s="19"/>
      <c r="P332" s="19"/>
      <c r="Q332" s="19"/>
      <c r="R332" s="19"/>
    </row>
    <row r="333" spans="13:18">
      <c r="M333" s="19"/>
      <c r="N333" s="19"/>
      <c r="O333" s="19"/>
      <c r="P333" s="19"/>
      <c r="Q333" s="19"/>
      <c r="R333" s="19"/>
    </row>
    <row r="334" spans="13:18">
      <c r="M334" s="19"/>
      <c r="N334" s="19"/>
      <c r="O334" s="19"/>
      <c r="P334" s="19"/>
      <c r="Q334" s="19"/>
      <c r="R334" s="19"/>
    </row>
    <row r="335" spans="13:18">
      <c r="M335" s="19"/>
      <c r="N335" s="19"/>
      <c r="O335" s="19"/>
      <c r="P335" s="19"/>
      <c r="Q335" s="19"/>
      <c r="R335" s="19"/>
    </row>
    <row r="336" spans="13:18">
      <c r="M336" s="19"/>
      <c r="N336" s="19"/>
      <c r="O336" s="19"/>
      <c r="P336" s="19"/>
      <c r="Q336" s="19"/>
      <c r="R336" s="19"/>
    </row>
    <row r="337" spans="13:18">
      <c r="M337" s="19"/>
      <c r="N337" s="19"/>
      <c r="O337" s="19"/>
      <c r="P337" s="19"/>
      <c r="Q337" s="19"/>
      <c r="R337" s="19"/>
    </row>
    <row r="338" spans="13:18">
      <c r="M338" s="19"/>
      <c r="N338" s="19"/>
      <c r="O338" s="19"/>
      <c r="P338" s="19"/>
      <c r="Q338" s="19"/>
      <c r="R338" s="19"/>
    </row>
    <row r="339" spans="13:18">
      <c r="M339" s="19"/>
      <c r="N339" s="19"/>
      <c r="O339" s="19"/>
      <c r="P339" s="19"/>
      <c r="Q339" s="19"/>
      <c r="R339" s="19"/>
    </row>
    <row r="340" spans="13:18">
      <c r="M340" s="19"/>
      <c r="N340" s="19"/>
      <c r="O340" s="19"/>
      <c r="P340" s="19"/>
      <c r="Q340" s="19"/>
      <c r="R340" s="19"/>
    </row>
    <row r="341" spans="13:18">
      <c r="M341" s="19"/>
      <c r="N341" s="19"/>
      <c r="O341" s="19"/>
      <c r="P341" s="19"/>
      <c r="Q341" s="19"/>
      <c r="R341" s="19"/>
    </row>
    <row r="342" spans="13:18">
      <c r="M342" s="19"/>
      <c r="N342" s="19"/>
      <c r="O342" s="19"/>
      <c r="P342" s="19"/>
      <c r="Q342" s="19"/>
      <c r="R342" s="19"/>
    </row>
    <row r="343" spans="13:18">
      <c r="M343" s="19"/>
      <c r="N343" s="19"/>
      <c r="O343" s="19"/>
      <c r="P343" s="19"/>
      <c r="Q343" s="19"/>
      <c r="R343" s="19"/>
    </row>
    <row r="344" spans="13:18">
      <c r="M344" s="19"/>
      <c r="N344" s="19"/>
      <c r="O344" s="19"/>
      <c r="P344" s="19"/>
      <c r="Q344" s="19"/>
      <c r="R344" s="19"/>
    </row>
    <row r="345" spans="13:18">
      <c r="M345" s="19"/>
      <c r="N345" s="19"/>
      <c r="O345" s="19"/>
      <c r="P345" s="19"/>
      <c r="Q345" s="19"/>
      <c r="R345" s="19"/>
    </row>
    <row r="346" spans="13:18">
      <c r="M346" s="19"/>
      <c r="N346" s="19"/>
      <c r="O346" s="19"/>
      <c r="P346" s="19"/>
      <c r="Q346" s="19"/>
      <c r="R346" s="19"/>
    </row>
    <row r="347" spans="13:18">
      <c r="M347" s="19"/>
      <c r="N347" s="19"/>
      <c r="O347" s="19"/>
      <c r="P347" s="19"/>
      <c r="Q347" s="19"/>
      <c r="R347" s="19"/>
    </row>
    <row r="348" spans="13:18">
      <c r="M348" s="19"/>
      <c r="N348" s="19"/>
      <c r="O348" s="19"/>
      <c r="P348" s="19"/>
      <c r="Q348" s="19"/>
      <c r="R348" s="19"/>
    </row>
    <row r="349" spans="13:18">
      <c r="M349" s="19"/>
      <c r="N349" s="19"/>
      <c r="O349" s="19"/>
      <c r="P349" s="19"/>
      <c r="Q349" s="19"/>
      <c r="R349" s="19"/>
    </row>
    <row r="350" spans="13:18">
      <c r="M350" s="19"/>
      <c r="N350" s="19"/>
      <c r="O350" s="19"/>
      <c r="P350" s="19"/>
      <c r="Q350" s="19"/>
      <c r="R350" s="19"/>
    </row>
    <row r="351" spans="13:18">
      <c r="M351" s="19"/>
      <c r="N351" s="19"/>
      <c r="O351" s="19"/>
      <c r="P351" s="19"/>
      <c r="Q351" s="19"/>
      <c r="R351" s="19"/>
    </row>
    <row r="352" spans="13:18">
      <c r="M352" s="19"/>
      <c r="N352" s="19"/>
      <c r="O352" s="19"/>
      <c r="P352" s="19"/>
      <c r="Q352" s="19"/>
      <c r="R352" s="19"/>
    </row>
    <row r="353" spans="13:18">
      <c r="M353" s="19"/>
      <c r="N353" s="19"/>
      <c r="O353" s="19"/>
      <c r="P353" s="19"/>
      <c r="Q353" s="19"/>
      <c r="R353" s="19"/>
    </row>
    <row r="354" spans="13:18">
      <c r="M354" s="19"/>
      <c r="N354" s="19"/>
      <c r="O354" s="19"/>
      <c r="P354" s="19"/>
      <c r="Q354" s="19"/>
      <c r="R354" s="19"/>
    </row>
    <row r="355" spans="13:18">
      <c r="M355" s="19"/>
      <c r="N355" s="19"/>
      <c r="O355" s="19"/>
      <c r="P355" s="19"/>
      <c r="Q355" s="19"/>
      <c r="R355" s="19"/>
    </row>
    <row r="356" spans="13:18">
      <c r="M356" s="19"/>
      <c r="N356" s="19"/>
      <c r="O356" s="19"/>
      <c r="P356" s="19"/>
      <c r="Q356" s="19"/>
      <c r="R356" s="19"/>
    </row>
    <row r="357" spans="13:18">
      <c r="M357" s="19"/>
      <c r="N357" s="19"/>
      <c r="O357" s="19"/>
      <c r="P357" s="19"/>
      <c r="Q357" s="19"/>
      <c r="R357" s="19"/>
    </row>
    <row r="358" spans="13:18">
      <c r="M358" s="19"/>
      <c r="N358" s="19"/>
      <c r="O358" s="19"/>
      <c r="P358" s="19"/>
      <c r="Q358" s="19"/>
      <c r="R358" s="19"/>
    </row>
    <row r="359" spans="13:18">
      <c r="M359" s="19"/>
      <c r="N359" s="19"/>
      <c r="O359" s="19"/>
      <c r="P359" s="19"/>
      <c r="Q359" s="19"/>
      <c r="R359" s="19"/>
    </row>
    <row r="360" spans="13:18">
      <c r="M360" s="19"/>
      <c r="N360" s="19"/>
      <c r="O360" s="19"/>
      <c r="P360" s="19"/>
      <c r="Q360" s="19"/>
      <c r="R360" s="19"/>
    </row>
    <row r="361" spans="13:18">
      <c r="M361" s="19"/>
      <c r="N361" s="19"/>
      <c r="O361" s="19"/>
      <c r="P361" s="19"/>
      <c r="Q361" s="19"/>
      <c r="R361" s="19"/>
    </row>
    <row r="362" spans="13:18">
      <c r="M362" s="19"/>
      <c r="N362" s="19"/>
      <c r="O362" s="19"/>
      <c r="P362" s="19"/>
      <c r="Q362" s="19"/>
      <c r="R362" s="19"/>
    </row>
    <row r="363" spans="13:18">
      <c r="M363" s="19"/>
      <c r="N363" s="19"/>
      <c r="O363" s="19"/>
      <c r="P363" s="19"/>
      <c r="Q363" s="19"/>
      <c r="R363" s="19"/>
    </row>
    <row r="364" spans="13:18">
      <c r="M364" s="19"/>
      <c r="N364" s="19"/>
      <c r="O364" s="19"/>
      <c r="P364" s="19"/>
      <c r="Q364" s="19"/>
      <c r="R364" s="19"/>
    </row>
    <row r="365" spans="13:18">
      <c r="M365" s="19"/>
      <c r="N365" s="19"/>
      <c r="O365" s="19"/>
      <c r="P365" s="19"/>
      <c r="Q365" s="19"/>
      <c r="R365" s="19"/>
    </row>
    <row r="366" spans="13:18">
      <c r="M366" s="19"/>
      <c r="N366" s="19"/>
      <c r="O366" s="19"/>
      <c r="P366" s="19"/>
      <c r="Q366" s="19"/>
      <c r="R366" s="19"/>
    </row>
    <row r="367" spans="13:18">
      <c r="M367" s="19"/>
      <c r="N367" s="19"/>
      <c r="O367" s="19"/>
      <c r="P367" s="19"/>
      <c r="Q367" s="19"/>
      <c r="R367" s="19"/>
    </row>
    <row r="368" spans="13:18">
      <c r="M368" s="19"/>
      <c r="N368" s="19"/>
      <c r="O368" s="19"/>
      <c r="P368" s="19"/>
      <c r="Q368" s="19"/>
      <c r="R368" s="19"/>
    </row>
    <row r="369" spans="13:18">
      <c r="M369" s="19"/>
      <c r="N369" s="19"/>
      <c r="O369" s="19"/>
      <c r="P369" s="19"/>
      <c r="Q369" s="19"/>
      <c r="R369" s="19"/>
    </row>
    <row r="370" spans="13:18">
      <c r="M370" s="19"/>
      <c r="N370" s="19"/>
      <c r="O370" s="19"/>
      <c r="P370" s="19"/>
      <c r="Q370" s="19"/>
      <c r="R370" s="19"/>
    </row>
    <row r="371" spans="13:18">
      <c r="M371" s="19"/>
      <c r="N371" s="19"/>
      <c r="O371" s="19"/>
      <c r="P371" s="19"/>
      <c r="Q371" s="19"/>
      <c r="R371" s="19"/>
    </row>
    <row r="372" spans="13:18">
      <c r="M372" s="19"/>
      <c r="N372" s="19"/>
      <c r="O372" s="19"/>
      <c r="P372" s="19"/>
      <c r="Q372" s="19"/>
      <c r="R372" s="19"/>
    </row>
    <row r="373" spans="13:18">
      <c r="M373" s="19"/>
      <c r="N373" s="19"/>
      <c r="O373" s="19"/>
      <c r="P373" s="19"/>
      <c r="Q373" s="19"/>
      <c r="R373" s="19"/>
    </row>
    <row r="374" spans="13:18">
      <c r="M374" s="19"/>
      <c r="N374" s="19"/>
      <c r="O374" s="19"/>
      <c r="P374" s="19"/>
      <c r="Q374" s="19"/>
      <c r="R374" s="19"/>
    </row>
    <row r="375" spans="13:18">
      <c r="M375" s="19"/>
      <c r="N375" s="19"/>
      <c r="O375" s="19"/>
      <c r="P375" s="19"/>
      <c r="Q375" s="19"/>
      <c r="R375" s="19"/>
    </row>
    <row r="376" spans="13:18">
      <c r="M376" s="19"/>
      <c r="N376" s="19"/>
      <c r="O376" s="19"/>
      <c r="P376" s="19"/>
      <c r="Q376" s="19"/>
      <c r="R376" s="19"/>
    </row>
    <row r="377" spans="13:18">
      <c r="M377" s="19"/>
      <c r="N377" s="19"/>
      <c r="O377" s="19"/>
      <c r="P377" s="19"/>
      <c r="Q377" s="19"/>
      <c r="R377" s="19"/>
    </row>
    <row r="378" spans="13:18">
      <c r="M378" s="19"/>
      <c r="N378" s="19"/>
      <c r="O378" s="19"/>
      <c r="P378" s="19"/>
      <c r="Q378" s="19"/>
      <c r="R378" s="19"/>
    </row>
    <row r="379" spans="13:18">
      <c r="M379" s="19"/>
      <c r="N379" s="19"/>
      <c r="O379" s="19"/>
      <c r="P379" s="19"/>
      <c r="Q379" s="19"/>
      <c r="R379" s="19"/>
    </row>
    <row r="380" spans="13:18">
      <c r="M380" s="19"/>
      <c r="N380" s="19"/>
      <c r="O380" s="19"/>
      <c r="P380" s="19"/>
      <c r="Q380" s="19"/>
      <c r="R380" s="19"/>
    </row>
    <row r="381" spans="13:18">
      <c r="M381" s="19"/>
      <c r="N381" s="19"/>
      <c r="O381" s="19"/>
      <c r="P381" s="19"/>
      <c r="Q381" s="19"/>
      <c r="R381" s="19"/>
    </row>
    <row r="382" spans="13:18">
      <c r="M382" s="19"/>
      <c r="N382" s="19"/>
      <c r="O382" s="19"/>
      <c r="P382" s="19"/>
      <c r="Q382" s="19"/>
      <c r="R382" s="19"/>
    </row>
    <row r="383" spans="13:18">
      <c r="M383" s="19"/>
      <c r="N383" s="19"/>
      <c r="O383" s="19"/>
      <c r="P383" s="19"/>
      <c r="Q383" s="19"/>
      <c r="R383" s="19"/>
    </row>
    <row r="384" spans="13:18">
      <c r="M384" s="19"/>
      <c r="N384" s="19"/>
      <c r="O384" s="19"/>
      <c r="P384" s="19"/>
      <c r="Q384" s="19"/>
      <c r="R384" s="19"/>
    </row>
    <row r="385" spans="13:18">
      <c r="M385" s="19"/>
      <c r="N385" s="19"/>
      <c r="O385" s="19"/>
      <c r="P385" s="19"/>
      <c r="Q385" s="19"/>
      <c r="R385" s="19"/>
    </row>
    <row r="386" spans="13:18">
      <c r="M386" s="19"/>
      <c r="N386" s="19"/>
      <c r="O386" s="19"/>
      <c r="P386" s="19"/>
      <c r="Q386" s="19"/>
      <c r="R386" s="19"/>
    </row>
    <row r="387" spans="13:18">
      <c r="M387" s="19"/>
      <c r="N387" s="19"/>
      <c r="O387" s="19"/>
      <c r="P387" s="19"/>
      <c r="Q387" s="19"/>
      <c r="R387" s="19"/>
    </row>
    <row r="388" spans="13:18">
      <c r="M388" s="19"/>
      <c r="N388" s="19"/>
      <c r="O388" s="19"/>
      <c r="P388" s="19"/>
      <c r="Q388" s="19"/>
      <c r="R388" s="19"/>
    </row>
    <row r="389" spans="13:18">
      <c r="M389" s="19"/>
      <c r="N389" s="19"/>
      <c r="O389" s="19"/>
      <c r="P389" s="19"/>
      <c r="Q389" s="19"/>
      <c r="R389" s="19"/>
    </row>
    <row r="390" spans="13:18">
      <c r="M390" s="19"/>
      <c r="N390" s="19"/>
      <c r="O390" s="19"/>
      <c r="P390" s="19"/>
      <c r="Q390" s="19"/>
      <c r="R390" s="19"/>
    </row>
    <row r="391" spans="13:18">
      <c r="M391" s="19"/>
      <c r="N391" s="19"/>
      <c r="O391" s="19"/>
      <c r="P391" s="19"/>
      <c r="Q391" s="19"/>
      <c r="R391" s="19"/>
    </row>
    <row r="392" spans="13:18">
      <c r="M392" s="19"/>
      <c r="N392" s="19"/>
      <c r="O392" s="19"/>
      <c r="P392" s="19"/>
      <c r="Q392" s="19"/>
      <c r="R392" s="19"/>
    </row>
    <row r="393" spans="13:18">
      <c r="M393" s="19"/>
      <c r="N393" s="19"/>
      <c r="O393" s="19"/>
      <c r="P393" s="19"/>
      <c r="Q393" s="19"/>
      <c r="R393" s="19"/>
    </row>
    <row r="394" spans="13:18">
      <c r="M394" s="19"/>
      <c r="N394" s="19"/>
      <c r="O394" s="19"/>
      <c r="P394" s="19"/>
      <c r="Q394" s="19"/>
      <c r="R394" s="19"/>
    </row>
    <row r="395" spans="13:18">
      <c r="M395" s="19"/>
      <c r="N395" s="19"/>
      <c r="O395" s="19"/>
      <c r="P395" s="19"/>
      <c r="Q395" s="19"/>
      <c r="R395" s="19"/>
    </row>
    <row r="396" spans="13:18">
      <c r="M396" s="19"/>
      <c r="N396" s="19"/>
      <c r="O396" s="19"/>
      <c r="P396" s="19"/>
      <c r="Q396" s="19"/>
      <c r="R396" s="19"/>
    </row>
    <row r="397" spans="13:18">
      <c r="M397" s="19"/>
      <c r="N397" s="19"/>
      <c r="O397" s="19"/>
      <c r="P397" s="19"/>
      <c r="Q397" s="19"/>
      <c r="R397" s="19"/>
    </row>
    <row r="398" spans="13:18">
      <c r="M398" s="19"/>
      <c r="N398" s="19"/>
      <c r="O398" s="19"/>
      <c r="P398" s="19"/>
      <c r="Q398" s="19"/>
      <c r="R398" s="19"/>
    </row>
    <row r="399" spans="13:18">
      <c r="M399" s="19"/>
      <c r="N399" s="19"/>
      <c r="O399" s="19"/>
      <c r="P399" s="19"/>
      <c r="Q399" s="19"/>
      <c r="R399" s="19"/>
    </row>
    <row r="400" spans="13:18">
      <c r="M400" s="19"/>
      <c r="N400" s="19"/>
      <c r="O400" s="19"/>
      <c r="P400" s="19"/>
      <c r="Q400" s="19"/>
      <c r="R400" s="19"/>
    </row>
    <row r="401" spans="13:18">
      <c r="M401" s="19"/>
      <c r="N401" s="19"/>
      <c r="O401" s="19"/>
      <c r="P401" s="19"/>
      <c r="Q401" s="19"/>
      <c r="R401" s="19"/>
    </row>
    <row r="402" spans="13:18">
      <c r="M402" s="19"/>
      <c r="N402" s="19"/>
      <c r="O402" s="19"/>
      <c r="P402" s="19"/>
      <c r="Q402" s="19"/>
      <c r="R402" s="19"/>
    </row>
    <row r="403" spans="13:18">
      <c r="M403" s="19"/>
      <c r="N403" s="19"/>
      <c r="O403" s="19"/>
      <c r="P403" s="19"/>
      <c r="Q403" s="19"/>
      <c r="R403" s="19"/>
    </row>
    <row r="404" spans="13:18">
      <c r="M404" s="19"/>
      <c r="N404" s="19"/>
      <c r="O404" s="19"/>
      <c r="P404" s="19"/>
      <c r="Q404" s="19"/>
      <c r="R404" s="19"/>
    </row>
    <row r="405" spans="13:18">
      <c r="M405" s="19"/>
      <c r="N405" s="19"/>
      <c r="O405" s="19"/>
      <c r="P405" s="19"/>
      <c r="Q405" s="19"/>
      <c r="R405" s="19"/>
    </row>
    <row r="406" spans="13:18">
      <c r="M406" s="19"/>
      <c r="N406" s="19"/>
      <c r="O406" s="19"/>
      <c r="P406" s="19"/>
      <c r="Q406" s="19"/>
      <c r="R406" s="19"/>
    </row>
    <row r="407" spans="13:18">
      <c r="M407" s="19"/>
      <c r="N407" s="19"/>
      <c r="O407" s="19"/>
      <c r="P407" s="19"/>
      <c r="Q407" s="19"/>
      <c r="R407" s="19"/>
    </row>
    <row r="408" spans="13:18">
      <c r="M408" s="19"/>
      <c r="N408" s="19"/>
      <c r="O408" s="19"/>
      <c r="P408" s="19"/>
      <c r="Q408" s="19"/>
      <c r="R408" s="19"/>
    </row>
    <row r="409" spans="13:18">
      <c r="M409" s="19"/>
      <c r="N409" s="19"/>
      <c r="O409" s="19"/>
      <c r="P409" s="19"/>
      <c r="Q409" s="19"/>
      <c r="R409" s="19"/>
    </row>
    <row r="410" spans="13:18">
      <c r="M410" s="19"/>
      <c r="N410" s="19"/>
      <c r="O410" s="19"/>
      <c r="P410" s="19"/>
      <c r="Q410" s="19"/>
      <c r="R410" s="19"/>
    </row>
    <row r="411" spans="13:18">
      <c r="M411" s="19"/>
      <c r="N411" s="19"/>
      <c r="O411" s="19"/>
      <c r="P411" s="19"/>
      <c r="Q411" s="19"/>
      <c r="R411" s="19"/>
    </row>
    <row r="412" spans="13:18">
      <c r="M412" s="19"/>
      <c r="N412" s="19"/>
      <c r="O412" s="19"/>
      <c r="P412" s="19"/>
      <c r="Q412" s="19"/>
      <c r="R412" s="19"/>
    </row>
    <row r="413" spans="13:18">
      <c r="M413" s="19"/>
      <c r="N413" s="19"/>
      <c r="O413" s="19"/>
      <c r="P413" s="19"/>
      <c r="Q413" s="19"/>
      <c r="R413" s="19"/>
    </row>
    <row r="414" spans="13:18">
      <c r="M414" s="19"/>
      <c r="N414" s="19"/>
      <c r="O414" s="19"/>
      <c r="P414" s="19"/>
      <c r="Q414" s="19"/>
      <c r="R414" s="19"/>
    </row>
    <row r="415" spans="13:18">
      <c r="M415" s="19"/>
      <c r="N415" s="19"/>
      <c r="O415" s="19"/>
      <c r="P415" s="19"/>
      <c r="Q415" s="19"/>
      <c r="R415" s="19"/>
    </row>
    <row r="416" spans="13:18">
      <c r="M416" s="19"/>
      <c r="N416" s="19"/>
      <c r="O416" s="19"/>
      <c r="P416" s="19"/>
      <c r="Q416" s="19"/>
      <c r="R416" s="19"/>
    </row>
    <row r="417" spans="13:18">
      <c r="M417" s="19"/>
      <c r="N417" s="19"/>
      <c r="O417" s="19"/>
      <c r="P417" s="19"/>
      <c r="Q417" s="19"/>
      <c r="R417" s="19"/>
    </row>
    <row r="418" spans="13:18">
      <c r="M418" s="19"/>
      <c r="N418" s="19"/>
      <c r="O418" s="19"/>
      <c r="P418" s="19"/>
      <c r="Q418" s="19"/>
      <c r="R418" s="19"/>
    </row>
    <row r="419" spans="13:18">
      <c r="M419" s="19"/>
      <c r="N419" s="19"/>
      <c r="O419" s="19"/>
      <c r="P419" s="19"/>
      <c r="Q419" s="19"/>
      <c r="R419" s="19"/>
    </row>
    <row r="420" spans="13:18">
      <c r="M420" s="19"/>
      <c r="N420" s="19"/>
      <c r="O420" s="19"/>
      <c r="P420" s="19"/>
      <c r="Q420" s="19"/>
      <c r="R420" s="19"/>
    </row>
    <row r="421" spans="13:18">
      <c r="M421" s="19"/>
      <c r="N421" s="19"/>
      <c r="O421" s="19"/>
      <c r="P421" s="19"/>
      <c r="Q421" s="19"/>
      <c r="R421" s="19"/>
    </row>
    <row r="422" spans="13:18">
      <c r="M422" s="19"/>
      <c r="N422" s="19"/>
      <c r="O422" s="19"/>
      <c r="P422" s="19"/>
      <c r="Q422" s="19"/>
      <c r="R422" s="19"/>
    </row>
    <row r="423" spans="13:18">
      <c r="M423" s="19"/>
      <c r="N423" s="19"/>
      <c r="O423" s="19"/>
      <c r="P423" s="19"/>
      <c r="Q423" s="19"/>
      <c r="R423" s="19"/>
    </row>
    <row r="424" spans="13:18">
      <c r="M424" s="19"/>
      <c r="N424" s="19"/>
      <c r="O424" s="19"/>
      <c r="P424" s="19"/>
      <c r="Q424" s="19"/>
      <c r="R424" s="19"/>
    </row>
    <row r="425" spans="13:18">
      <c r="M425" s="19"/>
      <c r="N425" s="19"/>
      <c r="O425" s="19"/>
      <c r="P425" s="19"/>
      <c r="Q425" s="19"/>
      <c r="R425" s="19"/>
    </row>
    <row r="426" spans="13:18">
      <c r="M426" s="19"/>
      <c r="N426" s="19"/>
      <c r="O426" s="19"/>
      <c r="P426" s="19"/>
      <c r="Q426" s="19"/>
      <c r="R426" s="19"/>
    </row>
    <row r="427" spans="13:18">
      <c r="M427" s="19"/>
      <c r="N427" s="19"/>
      <c r="O427" s="19"/>
      <c r="P427" s="19"/>
      <c r="Q427" s="19"/>
      <c r="R427" s="19"/>
    </row>
    <row r="428" spans="13:18">
      <c r="M428" s="19"/>
      <c r="N428" s="19"/>
      <c r="O428" s="19"/>
      <c r="P428" s="19"/>
      <c r="Q428" s="19"/>
      <c r="R428" s="19"/>
    </row>
    <row r="429" spans="13:18">
      <c r="M429" s="19"/>
      <c r="N429" s="19"/>
      <c r="O429" s="19"/>
      <c r="P429" s="19"/>
      <c r="Q429" s="19"/>
      <c r="R429" s="19"/>
    </row>
    <row r="430" spans="13:18">
      <c r="M430" s="19"/>
      <c r="N430" s="19"/>
      <c r="O430" s="19"/>
      <c r="P430" s="19"/>
      <c r="Q430" s="19"/>
      <c r="R430" s="19"/>
    </row>
    <row r="431" spans="13:18">
      <c r="M431" s="19"/>
      <c r="N431" s="19"/>
      <c r="O431" s="19"/>
      <c r="P431" s="19"/>
      <c r="Q431" s="19"/>
      <c r="R431" s="19"/>
    </row>
    <row r="432" spans="13:18">
      <c r="M432" s="19"/>
      <c r="N432" s="19"/>
      <c r="O432" s="19"/>
      <c r="P432" s="19"/>
      <c r="Q432" s="19"/>
      <c r="R432" s="19"/>
    </row>
    <row r="433" spans="13:18">
      <c r="M433" s="19"/>
      <c r="N433" s="19"/>
      <c r="O433" s="19"/>
      <c r="P433" s="19"/>
      <c r="Q433" s="19"/>
      <c r="R433" s="19"/>
    </row>
    <row r="434" spans="13:18">
      <c r="M434" s="19"/>
      <c r="N434" s="19"/>
      <c r="O434" s="19"/>
      <c r="P434" s="19"/>
      <c r="Q434" s="19"/>
      <c r="R434" s="19"/>
    </row>
    <row r="435" spans="13:18">
      <c r="M435" s="19"/>
      <c r="N435" s="19"/>
      <c r="O435" s="19"/>
      <c r="P435" s="19"/>
      <c r="Q435" s="19"/>
      <c r="R435" s="19"/>
    </row>
    <row r="436" spans="13:18">
      <c r="M436" s="19"/>
      <c r="N436" s="19"/>
      <c r="O436" s="19"/>
      <c r="P436" s="19"/>
      <c r="Q436" s="19"/>
      <c r="R436" s="19"/>
    </row>
    <row r="437" spans="13:18">
      <c r="M437" s="19"/>
      <c r="N437" s="19"/>
      <c r="O437" s="19"/>
      <c r="P437" s="19"/>
      <c r="Q437" s="19"/>
      <c r="R437" s="19"/>
    </row>
    <row r="438" spans="13:18">
      <c r="M438" s="19"/>
      <c r="N438" s="19"/>
      <c r="O438" s="19"/>
      <c r="P438" s="19"/>
      <c r="Q438" s="19"/>
      <c r="R438" s="19"/>
    </row>
    <row r="439" spans="13:18">
      <c r="M439" s="19"/>
      <c r="N439" s="19"/>
      <c r="O439" s="19"/>
      <c r="P439" s="19"/>
      <c r="Q439" s="19"/>
      <c r="R439" s="19"/>
    </row>
    <row r="440" spans="13:18">
      <c r="M440" s="19"/>
      <c r="N440" s="19"/>
      <c r="O440" s="19"/>
      <c r="P440" s="19"/>
      <c r="Q440" s="19"/>
      <c r="R440" s="19"/>
    </row>
    <row r="441" spans="13:18">
      <c r="M441" s="19"/>
      <c r="N441" s="19"/>
      <c r="O441" s="19"/>
      <c r="P441" s="19"/>
      <c r="Q441" s="19"/>
      <c r="R441" s="19"/>
    </row>
    <row r="442" spans="13:18">
      <c r="M442" s="19"/>
      <c r="N442" s="19"/>
      <c r="O442" s="19"/>
      <c r="P442" s="19"/>
      <c r="Q442" s="19"/>
      <c r="R442" s="19"/>
    </row>
    <row r="443" spans="13:18">
      <c r="M443" s="19"/>
      <c r="N443" s="19"/>
      <c r="O443" s="19"/>
      <c r="P443" s="19"/>
      <c r="Q443" s="19"/>
      <c r="R443" s="19"/>
    </row>
    <row r="444" spans="13:18">
      <c r="M444" s="19"/>
      <c r="N444" s="19"/>
      <c r="O444" s="19"/>
      <c r="P444" s="19"/>
      <c r="Q444" s="19"/>
      <c r="R444" s="19"/>
    </row>
    <row r="445" spans="13:18">
      <c r="M445" s="19"/>
      <c r="N445" s="19"/>
      <c r="O445" s="19"/>
      <c r="P445" s="19"/>
      <c r="Q445" s="19"/>
      <c r="R445" s="19"/>
    </row>
    <row r="446" spans="13:18">
      <c r="M446" s="19"/>
      <c r="N446" s="19"/>
      <c r="O446" s="19"/>
      <c r="P446" s="19"/>
      <c r="Q446" s="19"/>
      <c r="R446" s="19"/>
    </row>
    <row r="447" spans="13:18">
      <c r="M447" s="19"/>
      <c r="N447" s="19"/>
      <c r="O447" s="19"/>
      <c r="P447" s="19"/>
      <c r="Q447" s="19"/>
      <c r="R447" s="19"/>
    </row>
    <row r="448" spans="13:18">
      <c r="M448" s="19"/>
      <c r="N448" s="19"/>
      <c r="O448" s="19"/>
      <c r="P448" s="19"/>
      <c r="Q448" s="19"/>
      <c r="R448" s="19"/>
    </row>
    <row r="449" spans="13:18">
      <c r="M449" s="19"/>
      <c r="N449" s="19"/>
      <c r="O449" s="19"/>
      <c r="P449" s="19"/>
      <c r="Q449" s="19"/>
      <c r="R449" s="19"/>
    </row>
    <row r="450" spans="13:18">
      <c r="M450" s="19"/>
      <c r="N450" s="19"/>
      <c r="O450" s="19"/>
      <c r="P450" s="19"/>
      <c r="Q450" s="19"/>
      <c r="R450" s="19"/>
    </row>
    <row r="451" spans="13:18">
      <c r="M451" s="19"/>
      <c r="N451" s="19"/>
      <c r="O451" s="19"/>
      <c r="P451" s="19"/>
      <c r="Q451" s="19"/>
      <c r="R451" s="19"/>
    </row>
    <row r="452" spans="13:18">
      <c r="M452" s="19"/>
      <c r="N452" s="19"/>
      <c r="O452" s="19"/>
      <c r="P452" s="19"/>
      <c r="Q452" s="19"/>
      <c r="R452" s="19"/>
    </row>
    <row r="453" spans="13:18">
      <c r="M453" s="19"/>
      <c r="N453" s="19"/>
      <c r="O453" s="19"/>
      <c r="P453" s="19"/>
      <c r="Q453" s="19"/>
      <c r="R453" s="19"/>
    </row>
    <row r="454" spans="13:18">
      <c r="M454" s="19"/>
      <c r="N454" s="19"/>
      <c r="O454" s="19"/>
      <c r="P454" s="19"/>
      <c r="Q454" s="19"/>
      <c r="R454" s="19"/>
    </row>
    <row r="455" spans="13:18">
      <c r="M455" s="19"/>
      <c r="N455" s="19"/>
      <c r="O455" s="19"/>
      <c r="P455" s="19"/>
      <c r="Q455" s="19"/>
      <c r="R455" s="19"/>
    </row>
    <row r="456" spans="13:18">
      <c r="M456" s="19"/>
      <c r="N456" s="19"/>
      <c r="O456" s="19"/>
      <c r="P456" s="19"/>
      <c r="Q456" s="19"/>
      <c r="R456" s="19"/>
    </row>
    <row r="457" spans="13:18">
      <c r="M457" s="19"/>
      <c r="N457" s="19"/>
      <c r="O457" s="19"/>
      <c r="P457" s="19"/>
      <c r="Q457" s="19"/>
      <c r="R457" s="19"/>
    </row>
    <row r="458" spans="13:18">
      <c r="M458" s="19"/>
      <c r="N458" s="19"/>
      <c r="O458" s="19"/>
      <c r="P458" s="19"/>
      <c r="Q458" s="19"/>
      <c r="R458" s="19"/>
    </row>
    <row r="459" spans="13:18">
      <c r="M459" s="19"/>
      <c r="N459" s="19"/>
      <c r="O459" s="19"/>
      <c r="P459" s="19"/>
      <c r="Q459" s="19"/>
      <c r="R459" s="19"/>
    </row>
    <row r="460" spans="13:18">
      <c r="M460" s="19"/>
      <c r="N460" s="19"/>
      <c r="O460" s="19"/>
      <c r="P460" s="19"/>
      <c r="Q460" s="19"/>
      <c r="R460" s="19"/>
    </row>
    <row r="461" spans="13:18">
      <c r="M461" s="19"/>
      <c r="N461" s="19"/>
      <c r="O461" s="19"/>
      <c r="P461" s="19"/>
      <c r="Q461" s="19"/>
      <c r="R461" s="19"/>
    </row>
    <row r="462" spans="13:18">
      <c r="M462" s="19"/>
      <c r="N462" s="19"/>
      <c r="O462" s="19"/>
      <c r="P462" s="19"/>
      <c r="Q462" s="19"/>
      <c r="R462" s="19"/>
    </row>
    <row r="463" spans="13:18">
      <c r="M463" s="19"/>
      <c r="N463" s="19"/>
      <c r="O463" s="19"/>
      <c r="P463" s="19"/>
      <c r="Q463" s="19"/>
      <c r="R463" s="19"/>
    </row>
    <row r="464" spans="13:18">
      <c r="M464" s="19"/>
      <c r="N464" s="19"/>
      <c r="O464" s="19"/>
      <c r="P464" s="19"/>
      <c r="Q464" s="19"/>
      <c r="R464" s="19"/>
    </row>
    <row r="465" spans="13:18">
      <c r="M465" s="19"/>
      <c r="N465" s="19"/>
      <c r="O465" s="19"/>
      <c r="P465" s="19"/>
      <c r="Q465" s="19"/>
      <c r="R465" s="19"/>
    </row>
    <row r="466" spans="13:18">
      <c r="M466" s="19"/>
      <c r="N466" s="19"/>
      <c r="O466" s="19"/>
      <c r="P466" s="19"/>
      <c r="Q466" s="19"/>
      <c r="R466" s="19"/>
    </row>
    <row r="467" spans="13:18">
      <c r="M467" s="19"/>
      <c r="N467" s="19"/>
      <c r="O467" s="19"/>
      <c r="P467" s="19"/>
      <c r="Q467" s="19"/>
      <c r="R467" s="19"/>
    </row>
    <row r="468" spans="13:18">
      <c r="M468" s="19"/>
      <c r="N468" s="19"/>
      <c r="O468" s="19"/>
      <c r="P468" s="19"/>
      <c r="Q468" s="19"/>
      <c r="R468" s="19"/>
    </row>
    <row r="469" spans="13:18">
      <c r="M469" s="19"/>
      <c r="N469" s="19"/>
      <c r="O469" s="19"/>
      <c r="P469" s="19"/>
      <c r="Q469" s="19"/>
      <c r="R469" s="19"/>
    </row>
    <row r="470" spans="13:18">
      <c r="M470" s="19"/>
      <c r="N470" s="19"/>
      <c r="O470" s="19"/>
      <c r="P470" s="19"/>
      <c r="Q470" s="19"/>
      <c r="R470" s="19"/>
    </row>
    <row r="471" spans="13:18">
      <c r="M471" s="19"/>
      <c r="N471" s="19"/>
      <c r="O471" s="19"/>
      <c r="P471" s="19"/>
      <c r="Q471" s="19"/>
      <c r="R471" s="19"/>
    </row>
    <row r="472" spans="13:18">
      <c r="M472" s="19"/>
      <c r="N472" s="19"/>
      <c r="O472" s="19"/>
      <c r="P472" s="19"/>
      <c r="Q472" s="19"/>
      <c r="R472" s="19"/>
    </row>
    <row r="473" spans="13:18">
      <c r="M473" s="19"/>
      <c r="N473" s="19"/>
      <c r="O473" s="19"/>
      <c r="P473" s="19"/>
      <c r="Q473" s="19"/>
      <c r="R473" s="19"/>
    </row>
    <row r="474" spans="13:18">
      <c r="M474" s="19"/>
      <c r="N474" s="19"/>
      <c r="O474" s="19"/>
      <c r="P474" s="19"/>
      <c r="Q474" s="19"/>
      <c r="R474" s="19"/>
    </row>
    <row r="475" spans="13:18">
      <c r="M475" s="19"/>
      <c r="N475" s="19"/>
      <c r="O475" s="19"/>
      <c r="P475" s="19"/>
      <c r="Q475" s="19"/>
      <c r="R475" s="19"/>
    </row>
    <row r="476" spans="13:18">
      <c r="M476" s="19"/>
      <c r="N476" s="19"/>
      <c r="O476" s="19"/>
      <c r="P476" s="19"/>
      <c r="Q476" s="19"/>
      <c r="R476" s="19"/>
    </row>
    <row r="477" spans="13:18">
      <c r="M477" s="19"/>
      <c r="N477" s="19"/>
      <c r="O477" s="19"/>
      <c r="P477" s="19"/>
      <c r="Q477" s="19"/>
      <c r="R477" s="19"/>
    </row>
    <row r="478" spans="13:18">
      <c r="M478" s="19"/>
      <c r="N478" s="19"/>
      <c r="O478" s="19"/>
      <c r="P478" s="19"/>
      <c r="Q478" s="19"/>
      <c r="R478" s="19"/>
    </row>
    <row r="479" spans="13:18">
      <c r="M479" s="19"/>
      <c r="N479" s="19"/>
      <c r="O479" s="19"/>
      <c r="P479" s="19"/>
      <c r="Q479" s="19"/>
      <c r="R479" s="19"/>
    </row>
    <row r="480" spans="13:18">
      <c r="M480" s="19"/>
      <c r="N480" s="19"/>
      <c r="O480" s="19"/>
      <c r="P480" s="19"/>
      <c r="Q480" s="19"/>
      <c r="R480" s="19"/>
    </row>
    <row r="481" spans="13:18">
      <c r="M481" s="19"/>
      <c r="N481" s="19"/>
      <c r="O481" s="19"/>
      <c r="P481" s="19"/>
      <c r="Q481" s="19"/>
      <c r="R481" s="19"/>
    </row>
    <row r="482" spans="13:18">
      <c r="M482" s="19"/>
      <c r="N482" s="19"/>
      <c r="O482" s="19"/>
      <c r="P482" s="19"/>
      <c r="Q482" s="19"/>
      <c r="R482" s="19"/>
    </row>
    <row r="483" spans="13:18">
      <c r="M483" s="19"/>
      <c r="N483" s="19"/>
      <c r="O483" s="19"/>
      <c r="P483" s="19"/>
      <c r="Q483" s="19"/>
      <c r="R483" s="19"/>
    </row>
    <row r="484" spans="13:18">
      <c r="M484" s="19"/>
      <c r="N484" s="19"/>
      <c r="O484" s="19"/>
      <c r="P484" s="19"/>
      <c r="Q484" s="19"/>
      <c r="R484" s="19"/>
    </row>
    <row r="485" spans="13:18">
      <c r="M485" s="19"/>
      <c r="N485" s="19"/>
      <c r="O485" s="19"/>
      <c r="P485" s="19"/>
      <c r="Q485" s="19"/>
      <c r="R485" s="19"/>
    </row>
    <row r="486" spans="13:18">
      <c r="M486" s="19"/>
      <c r="N486" s="19"/>
      <c r="O486" s="19"/>
      <c r="P486" s="19"/>
      <c r="Q486" s="19"/>
      <c r="R486" s="19"/>
    </row>
    <row r="487" spans="13:18">
      <c r="M487" s="19"/>
      <c r="N487" s="19"/>
      <c r="O487" s="19"/>
      <c r="P487" s="19"/>
      <c r="Q487" s="19"/>
      <c r="R487" s="19"/>
    </row>
    <row r="488" spans="13:18">
      <c r="M488" s="19"/>
      <c r="N488" s="19"/>
      <c r="O488" s="19"/>
      <c r="P488" s="19"/>
      <c r="Q488" s="19"/>
      <c r="R488" s="19"/>
    </row>
    <row r="489" spans="13:18">
      <c r="M489" s="19"/>
      <c r="N489" s="19"/>
      <c r="O489" s="19"/>
      <c r="P489" s="19"/>
      <c r="Q489" s="19"/>
      <c r="R489" s="19"/>
    </row>
    <row r="490" spans="13:18">
      <c r="M490" s="19"/>
      <c r="N490" s="19"/>
      <c r="O490" s="19"/>
      <c r="P490" s="19"/>
      <c r="Q490" s="19"/>
      <c r="R490" s="19"/>
    </row>
    <row r="491" spans="13:18">
      <c r="M491" s="19"/>
      <c r="N491" s="19"/>
      <c r="O491" s="19"/>
      <c r="P491" s="19"/>
      <c r="Q491" s="19"/>
      <c r="R491" s="19"/>
    </row>
    <row r="492" spans="13:18">
      <c r="M492" s="19"/>
      <c r="N492" s="19"/>
      <c r="O492" s="19"/>
      <c r="P492" s="19"/>
      <c r="Q492" s="19"/>
      <c r="R492" s="19"/>
    </row>
    <row r="493" spans="13:18">
      <c r="M493" s="19"/>
      <c r="N493" s="19"/>
      <c r="O493" s="19"/>
      <c r="P493" s="19"/>
      <c r="Q493" s="19"/>
      <c r="R493" s="19"/>
    </row>
    <row r="494" spans="13:18">
      <c r="M494" s="19"/>
      <c r="N494" s="19"/>
      <c r="O494" s="19"/>
      <c r="P494" s="19"/>
      <c r="Q494" s="19"/>
      <c r="R494" s="19"/>
    </row>
    <row r="495" spans="13:18">
      <c r="M495" s="19"/>
      <c r="N495" s="19"/>
      <c r="O495" s="19"/>
      <c r="P495" s="19"/>
      <c r="Q495" s="19"/>
      <c r="R495" s="19"/>
    </row>
    <row r="496" spans="13:18">
      <c r="M496" s="19"/>
      <c r="N496" s="19"/>
      <c r="O496" s="19"/>
      <c r="P496" s="19"/>
      <c r="Q496" s="19"/>
      <c r="R496" s="19"/>
    </row>
    <row r="497" spans="13:18">
      <c r="M497" s="19"/>
      <c r="N497" s="19"/>
      <c r="O497" s="19"/>
      <c r="P497" s="19"/>
      <c r="Q497" s="19"/>
      <c r="R497" s="19"/>
    </row>
    <row r="498" spans="13:18">
      <c r="M498" s="19"/>
      <c r="N498" s="19"/>
      <c r="O498" s="19"/>
      <c r="P498" s="19"/>
      <c r="Q498" s="19"/>
      <c r="R498" s="19"/>
    </row>
    <row r="499" spans="13:18">
      <c r="M499" s="19"/>
      <c r="N499" s="19"/>
      <c r="O499" s="19"/>
      <c r="P499" s="19"/>
      <c r="Q499" s="19"/>
      <c r="R499" s="19"/>
    </row>
    <row r="500" spans="13:18">
      <c r="M500" s="19"/>
      <c r="N500" s="19"/>
      <c r="O500" s="19"/>
      <c r="P500" s="19"/>
      <c r="Q500" s="19"/>
      <c r="R500" s="19"/>
    </row>
    <row r="501" spans="13:18">
      <c r="M501" s="19"/>
      <c r="N501" s="19"/>
      <c r="O501" s="19"/>
      <c r="P501" s="19"/>
      <c r="Q501" s="19"/>
      <c r="R501" s="19"/>
    </row>
    <row r="502" spans="13:18">
      <c r="M502" s="19"/>
      <c r="N502" s="19"/>
      <c r="O502" s="19"/>
      <c r="P502" s="19"/>
      <c r="Q502" s="19"/>
      <c r="R502" s="19"/>
    </row>
    <row r="503" spans="13:18">
      <c r="M503" s="19"/>
      <c r="N503" s="19"/>
      <c r="O503" s="19"/>
      <c r="P503" s="19"/>
      <c r="Q503" s="19"/>
      <c r="R503" s="19"/>
    </row>
    <row r="504" spans="13:18">
      <c r="M504" s="19"/>
      <c r="N504" s="19"/>
      <c r="O504" s="19"/>
      <c r="P504" s="19"/>
      <c r="Q504" s="19"/>
      <c r="R504" s="19"/>
    </row>
    <row r="505" spans="13:18">
      <c r="M505" s="19"/>
      <c r="N505" s="19"/>
      <c r="O505" s="19"/>
      <c r="P505" s="19"/>
      <c r="Q505" s="19"/>
      <c r="R505" s="19"/>
    </row>
    <row r="506" spans="13:18">
      <c r="M506" s="19"/>
      <c r="N506" s="19"/>
      <c r="O506" s="19"/>
      <c r="P506" s="19"/>
      <c r="Q506" s="19"/>
      <c r="R506" s="19"/>
    </row>
    <row r="507" spans="13:18">
      <c r="M507" s="19"/>
      <c r="N507" s="19"/>
      <c r="O507" s="19"/>
      <c r="P507" s="19"/>
      <c r="Q507" s="19"/>
      <c r="R507" s="19"/>
    </row>
    <row r="508" spans="13:18">
      <c r="M508" s="19"/>
      <c r="N508" s="19"/>
      <c r="O508" s="19"/>
      <c r="P508" s="19"/>
      <c r="Q508" s="19"/>
      <c r="R508" s="19"/>
    </row>
    <row r="509" spans="13:18">
      <c r="M509" s="19"/>
      <c r="N509" s="19"/>
      <c r="O509" s="19"/>
      <c r="P509" s="19"/>
      <c r="Q509" s="19"/>
      <c r="R509" s="19"/>
    </row>
    <row r="510" spans="13:18">
      <c r="M510" s="19"/>
      <c r="N510" s="19"/>
      <c r="O510" s="19"/>
      <c r="P510" s="19"/>
      <c r="Q510" s="19"/>
      <c r="R510" s="19"/>
    </row>
    <row r="511" spans="13:18">
      <c r="M511" s="19"/>
      <c r="N511" s="19"/>
      <c r="O511" s="19"/>
      <c r="P511" s="19"/>
      <c r="Q511" s="19"/>
      <c r="R511" s="19"/>
    </row>
    <row r="512" spans="13:18">
      <c r="M512" s="19"/>
      <c r="N512" s="19"/>
      <c r="O512" s="19"/>
      <c r="P512" s="19"/>
      <c r="Q512" s="19"/>
      <c r="R512" s="19"/>
    </row>
    <row r="513" spans="13:18">
      <c r="M513" s="19"/>
      <c r="N513" s="19"/>
      <c r="O513" s="19"/>
      <c r="P513" s="19"/>
      <c r="Q513" s="19"/>
      <c r="R513" s="19"/>
    </row>
    <row r="514" spans="13:18">
      <c r="M514" s="19"/>
      <c r="N514" s="19"/>
      <c r="O514" s="19"/>
      <c r="P514" s="19"/>
      <c r="Q514" s="19"/>
      <c r="R514" s="19"/>
    </row>
    <row r="515" spans="13:18">
      <c r="M515" s="19"/>
      <c r="N515" s="19"/>
      <c r="O515" s="19"/>
      <c r="P515" s="19"/>
      <c r="Q515" s="19"/>
      <c r="R515" s="19"/>
    </row>
    <row r="516" spans="13:18">
      <c r="M516" s="19"/>
      <c r="N516" s="19"/>
      <c r="O516" s="19"/>
      <c r="P516" s="19"/>
      <c r="Q516" s="19"/>
      <c r="R516" s="19"/>
    </row>
    <row r="517" spans="13:18">
      <c r="M517" s="19"/>
      <c r="N517" s="19"/>
      <c r="O517" s="19"/>
      <c r="P517" s="19"/>
      <c r="Q517" s="19"/>
      <c r="R517" s="19"/>
    </row>
    <row r="518" spans="13:18">
      <c r="M518" s="19"/>
      <c r="N518" s="19"/>
      <c r="O518" s="19"/>
      <c r="P518" s="19"/>
      <c r="Q518" s="19"/>
      <c r="R518" s="19"/>
    </row>
    <row r="519" spans="13:18">
      <c r="M519" s="19"/>
      <c r="N519" s="19"/>
      <c r="O519" s="19"/>
      <c r="P519" s="19"/>
      <c r="Q519" s="19"/>
      <c r="R519" s="19"/>
    </row>
    <row r="520" spans="13:18">
      <c r="M520" s="19"/>
      <c r="N520" s="19"/>
      <c r="O520" s="19"/>
      <c r="P520" s="19"/>
      <c r="Q520" s="19"/>
      <c r="R520" s="19"/>
    </row>
    <row r="521" spans="13:18">
      <c r="M521" s="19"/>
      <c r="N521" s="19"/>
      <c r="O521" s="19"/>
      <c r="P521" s="19"/>
      <c r="Q521" s="19"/>
      <c r="R521" s="19"/>
    </row>
    <row r="522" spans="13:18">
      <c r="M522" s="19"/>
      <c r="N522" s="19"/>
      <c r="O522" s="19"/>
      <c r="P522" s="19"/>
      <c r="Q522" s="19"/>
      <c r="R522" s="19"/>
    </row>
    <row r="523" spans="13:18">
      <c r="M523" s="19"/>
      <c r="N523" s="19"/>
      <c r="O523" s="19"/>
      <c r="P523" s="19"/>
      <c r="Q523" s="19"/>
      <c r="R523" s="19"/>
    </row>
    <row r="524" spans="13:18">
      <c r="M524" s="19"/>
      <c r="N524" s="19"/>
      <c r="O524" s="19"/>
      <c r="P524" s="19"/>
      <c r="Q524" s="19"/>
      <c r="R524" s="19"/>
    </row>
    <row r="525" spans="13:18">
      <c r="M525" s="19"/>
      <c r="N525" s="19"/>
      <c r="O525" s="19"/>
      <c r="P525" s="19"/>
      <c r="Q525" s="19"/>
      <c r="R525" s="19"/>
    </row>
    <row r="526" spans="13:18">
      <c r="M526" s="19"/>
      <c r="N526" s="19"/>
      <c r="O526" s="19"/>
      <c r="P526" s="19"/>
      <c r="Q526" s="19"/>
      <c r="R526" s="19"/>
    </row>
    <row r="527" spans="13:18">
      <c r="M527" s="19"/>
      <c r="N527" s="19"/>
      <c r="O527" s="19"/>
      <c r="P527" s="19"/>
      <c r="Q527" s="19"/>
      <c r="R527" s="19"/>
    </row>
    <row r="528" spans="13:18">
      <c r="M528" s="19"/>
      <c r="N528" s="19"/>
      <c r="O528" s="19"/>
      <c r="P528" s="19"/>
      <c r="Q528" s="19"/>
      <c r="R528" s="19"/>
    </row>
    <row r="529" spans="13:18">
      <c r="M529" s="19"/>
      <c r="N529" s="19"/>
      <c r="O529" s="19"/>
      <c r="P529" s="19"/>
      <c r="Q529" s="19"/>
      <c r="R529" s="19"/>
    </row>
    <row r="530" spans="13:18">
      <c r="M530" s="19"/>
      <c r="N530" s="19"/>
      <c r="O530" s="19"/>
      <c r="P530" s="19"/>
      <c r="Q530" s="19"/>
      <c r="R530" s="19"/>
    </row>
    <row r="531" spans="13:18">
      <c r="M531" s="19"/>
      <c r="N531" s="19"/>
      <c r="O531" s="19"/>
      <c r="P531" s="19"/>
      <c r="Q531" s="19"/>
      <c r="R531" s="19"/>
    </row>
    <row r="532" spans="13:18">
      <c r="M532" s="19"/>
      <c r="N532" s="19"/>
      <c r="O532" s="19"/>
      <c r="P532" s="19"/>
      <c r="Q532" s="19"/>
      <c r="R532" s="19"/>
    </row>
    <row r="533" spans="13:18">
      <c r="M533" s="19"/>
      <c r="N533" s="19"/>
      <c r="O533" s="19"/>
      <c r="P533" s="19"/>
      <c r="Q533" s="19"/>
      <c r="R533" s="19"/>
    </row>
    <row r="534" spans="13:18">
      <c r="M534" s="19"/>
      <c r="N534" s="19"/>
      <c r="O534" s="19"/>
      <c r="P534" s="19"/>
      <c r="Q534" s="19"/>
      <c r="R534" s="19"/>
    </row>
    <row r="535" spans="13:18">
      <c r="M535" s="19"/>
      <c r="N535" s="19"/>
      <c r="O535" s="19"/>
      <c r="P535" s="19"/>
      <c r="Q535" s="19"/>
      <c r="R535" s="19"/>
    </row>
    <row r="536" spans="13:18">
      <c r="M536" s="19"/>
      <c r="N536" s="19"/>
      <c r="O536" s="19"/>
      <c r="P536" s="19"/>
      <c r="Q536" s="19"/>
      <c r="R536" s="19"/>
    </row>
    <row r="537" spans="13:18">
      <c r="M537" s="19"/>
      <c r="N537" s="19"/>
      <c r="O537" s="19"/>
      <c r="P537" s="19"/>
      <c r="Q537" s="19"/>
      <c r="R537" s="19"/>
    </row>
    <row r="538" spans="13:18">
      <c r="M538" s="19"/>
      <c r="N538" s="19"/>
      <c r="O538" s="19"/>
      <c r="P538" s="19"/>
      <c r="Q538" s="19"/>
      <c r="R538" s="19"/>
    </row>
    <row r="539" spans="13:18">
      <c r="M539" s="19"/>
      <c r="N539" s="19"/>
      <c r="O539" s="19"/>
      <c r="P539" s="19"/>
      <c r="Q539" s="19"/>
      <c r="R539" s="19"/>
    </row>
    <row r="540" spans="13:18">
      <c r="M540" s="19"/>
      <c r="N540" s="19"/>
      <c r="O540" s="19"/>
      <c r="P540" s="19"/>
      <c r="Q540" s="19"/>
      <c r="R540" s="19"/>
    </row>
    <row r="541" spans="13:18">
      <c r="M541" s="19"/>
      <c r="N541" s="19"/>
      <c r="O541" s="19"/>
      <c r="P541" s="19"/>
      <c r="Q541" s="19"/>
      <c r="R541" s="19"/>
    </row>
    <row r="542" spans="13:18">
      <c r="M542" s="19"/>
      <c r="N542" s="19"/>
      <c r="O542" s="19"/>
      <c r="P542" s="19"/>
      <c r="Q542" s="19"/>
      <c r="R542" s="19"/>
    </row>
    <row r="543" spans="13:18">
      <c r="M543" s="19"/>
      <c r="N543" s="19"/>
      <c r="O543" s="19"/>
      <c r="P543" s="19"/>
      <c r="Q543" s="19"/>
      <c r="R543" s="19"/>
    </row>
    <row r="544" spans="13:18">
      <c r="M544" s="19"/>
      <c r="N544" s="19"/>
      <c r="O544" s="19"/>
      <c r="P544" s="19"/>
      <c r="Q544" s="19"/>
      <c r="R544" s="19"/>
    </row>
    <row r="545" spans="13:18">
      <c r="M545" s="19"/>
      <c r="N545" s="19"/>
      <c r="O545" s="19"/>
      <c r="P545" s="19"/>
      <c r="Q545" s="19"/>
      <c r="R545" s="19"/>
    </row>
    <row r="546" spans="13:18">
      <c r="M546" s="19"/>
      <c r="N546" s="19"/>
      <c r="O546" s="19"/>
      <c r="P546" s="19"/>
      <c r="Q546" s="19"/>
      <c r="R546" s="19"/>
    </row>
    <row r="547" spans="13:18">
      <c r="M547" s="19"/>
      <c r="N547" s="19"/>
      <c r="O547" s="19"/>
      <c r="P547" s="19"/>
      <c r="Q547" s="19"/>
      <c r="R547" s="19"/>
    </row>
    <row r="548" spans="13:18">
      <c r="M548" s="19"/>
      <c r="N548" s="19"/>
      <c r="O548" s="19"/>
      <c r="P548" s="19"/>
      <c r="Q548" s="19"/>
      <c r="R548" s="19"/>
    </row>
    <row r="549" spans="13:18">
      <c r="M549" s="19"/>
      <c r="N549" s="19"/>
      <c r="O549" s="19"/>
      <c r="P549" s="19"/>
      <c r="Q549" s="19"/>
      <c r="R549" s="19"/>
    </row>
    <row r="550" spans="13:18">
      <c r="M550" s="19"/>
      <c r="N550" s="19"/>
      <c r="O550" s="19"/>
      <c r="P550" s="19"/>
      <c r="Q550" s="19"/>
      <c r="R550" s="19"/>
    </row>
    <row r="551" spans="13:18">
      <c r="M551" s="19"/>
      <c r="N551" s="19"/>
      <c r="O551" s="19"/>
      <c r="P551" s="19"/>
      <c r="Q551" s="19"/>
      <c r="R551" s="19"/>
    </row>
    <row r="552" spans="13:18">
      <c r="M552" s="19"/>
      <c r="N552" s="19"/>
      <c r="O552" s="19"/>
      <c r="P552" s="19"/>
      <c r="Q552" s="19"/>
      <c r="R552" s="19"/>
    </row>
    <row r="553" spans="13:18">
      <c r="M553" s="19"/>
      <c r="N553" s="19"/>
      <c r="O553" s="19"/>
      <c r="P553" s="19"/>
      <c r="Q553" s="19"/>
      <c r="R553" s="19"/>
    </row>
    <row r="554" spans="13:18">
      <c r="M554" s="19"/>
      <c r="N554" s="19"/>
      <c r="O554" s="19"/>
      <c r="P554" s="19"/>
      <c r="Q554" s="19"/>
      <c r="R554" s="19"/>
    </row>
    <row r="555" spans="13:18">
      <c r="M555" s="19"/>
      <c r="N555" s="19"/>
      <c r="O555" s="19"/>
      <c r="P555" s="19"/>
      <c r="Q555" s="19"/>
      <c r="R555" s="19"/>
    </row>
    <row r="556" spans="13:18">
      <c r="M556" s="19"/>
      <c r="N556" s="19"/>
      <c r="O556" s="19"/>
      <c r="P556" s="19"/>
      <c r="Q556" s="19"/>
      <c r="R556" s="19"/>
    </row>
    <row r="557" spans="13:18">
      <c r="M557" s="19"/>
      <c r="N557" s="19"/>
      <c r="O557" s="19"/>
      <c r="P557" s="19"/>
      <c r="Q557" s="19"/>
      <c r="R557" s="19"/>
    </row>
    <row r="558" spans="13:18">
      <c r="M558" s="19"/>
      <c r="N558" s="19"/>
      <c r="O558" s="19"/>
      <c r="P558" s="19"/>
      <c r="Q558" s="19"/>
      <c r="R558" s="19"/>
    </row>
    <row r="559" spans="13:18">
      <c r="M559" s="19"/>
      <c r="N559" s="19"/>
      <c r="O559" s="19"/>
      <c r="P559" s="19"/>
      <c r="Q559" s="19"/>
      <c r="R559" s="19"/>
    </row>
    <row r="560" spans="13:18">
      <c r="M560" s="19"/>
      <c r="N560" s="19"/>
      <c r="O560" s="19"/>
      <c r="P560" s="19"/>
      <c r="Q560" s="19"/>
      <c r="R560" s="19"/>
    </row>
    <row r="561" spans="13:18">
      <c r="M561" s="19"/>
      <c r="N561" s="19"/>
      <c r="O561" s="19"/>
      <c r="P561" s="19"/>
      <c r="Q561" s="19"/>
      <c r="R561" s="19"/>
    </row>
    <row r="562" spans="13:18">
      <c r="M562" s="19"/>
      <c r="N562" s="19"/>
      <c r="O562" s="19"/>
      <c r="P562" s="19"/>
      <c r="Q562" s="19"/>
      <c r="R562" s="19"/>
    </row>
    <row r="563" spans="13:18">
      <c r="M563" s="19"/>
      <c r="N563" s="19"/>
      <c r="O563" s="19"/>
      <c r="P563" s="19"/>
      <c r="Q563" s="19"/>
      <c r="R563" s="19"/>
    </row>
    <row r="564" spans="13:18">
      <c r="M564" s="19"/>
      <c r="N564" s="19"/>
      <c r="O564" s="19"/>
      <c r="P564" s="19"/>
      <c r="Q564" s="19"/>
      <c r="R564" s="19"/>
    </row>
    <row r="565" spans="13:18">
      <c r="M565" s="19"/>
      <c r="N565" s="19"/>
      <c r="O565" s="19"/>
      <c r="P565" s="19"/>
      <c r="Q565" s="19"/>
      <c r="R565" s="19"/>
    </row>
    <row r="566" spans="13:18">
      <c r="M566" s="19"/>
      <c r="N566" s="19"/>
      <c r="O566" s="19"/>
      <c r="P566" s="19"/>
      <c r="Q566" s="19"/>
      <c r="R566" s="19"/>
    </row>
    <row r="567" spans="13:18">
      <c r="M567" s="19"/>
      <c r="N567" s="19"/>
      <c r="O567" s="19"/>
      <c r="P567" s="19"/>
      <c r="Q567" s="19"/>
      <c r="R567" s="19"/>
    </row>
    <row r="568" spans="13:18">
      <c r="M568" s="19"/>
      <c r="N568" s="19"/>
      <c r="O568" s="19"/>
      <c r="P568" s="19"/>
      <c r="Q568" s="19"/>
      <c r="R568" s="19"/>
    </row>
    <row r="569" spans="13:18">
      <c r="M569" s="19"/>
      <c r="N569" s="19"/>
      <c r="O569" s="19"/>
      <c r="P569" s="19"/>
      <c r="Q569" s="19"/>
      <c r="R569" s="19"/>
    </row>
    <row r="570" spans="13:18">
      <c r="M570" s="19"/>
      <c r="N570" s="19"/>
      <c r="O570" s="19"/>
      <c r="P570" s="19"/>
      <c r="Q570" s="19"/>
      <c r="R570" s="19"/>
    </row>
    <row r="571" spans="13:18">
      <c r="M571" s="19"/>
      <c r="N571" s="19"/>
      <c r="O571" s="19"/>
      <c r="P571" s="19"/>
      <c r="Q571" s="19"/>
      <c r="R571" s="19"/>
    </row>
    <row r="572" spans="13:18">
      <c r="M572" s="19"/>
      <c r="N572" s="19"/>
      <c r="O572" s="19"/>
      <c r="P572" s="19"/>
      <c r="Q572" s="19"/>
      <c r="R572" s="19"/>
    </row>
    <row r="573" spans="13:18">
      <c r="M573" s="19"/>
      <c r="N573" s="19"/>
      <c r="O573" s="19"/>
      <c r="P573" s="19"/>
      <c r="Q573" s="19"/>
      <c r="R573" s="19"/>
    </row>
    <row r="574" spans="13:18">
      <c r="M574" s="19"/>
      <c r="N574" s="19"/>
      <c r="O574" s="19"/>
      <c r="P574" s="19"/>
      <c r="Q574" s="19"/>
      <c r="R574" s="19"/>
    </row>
    <row r="575" spans="13:18">
      <c r="M575" s="19"/>
      <c r="N575" s="19"/>
      <c r="O575" s="19"/>
      <c r="P575" s="19"/>
      <c r="Q575" s="19"/>
      <c r="R575" s="19"/>
    </row>
    <row r="576" spans="13:18">
      <c r="M576" s="19"/>
      <c r="N576" s="19"/>
      <c r="O576" s="19"/>
      <c r="P576" s="19"/>
      <c r="Q576" s="19"/>
      <c r="R576" s="19"/>
    </row>
    <row r="577" spans="13:18">
      <c r="M577" s="19"/>
      <c r="N577" s="19"/>
      <c r="O577" s="19"/>
      <c r="P577" s="19"/>
      <c r="Q577" s="19"/>
      <c r="R577" s="19"/>
    </row>
    <row r="578" spans="13:18">
      <c r="M578" s="19"/>
      <c r="N578" s="19"/>
      <c r="O578" s="19"/>
      <c r="P578" s="19"/>
      <c r="Q578" s="19"/>
      <c r="R578" s="19"/>
    </row>
    <row r="579" spans="13:18">
      <c r="M579" s="19"/>
      <c r="N579" s="19"/>
      <c r="O579" s="19"/>
      <c r="P579" s="19"/>
      <c r="Q579" s="19"/>
      <c r="R579" s="19"/>
    </row>
    <row r="580" spans="13:18">
      <c r="M580" s="19"/>
      <c r="N580" s="19"/>
      <c r="O580" s="19"/>
      <c r="P580" s="19"/>
      <c r="Q580" s="19"/>
      <c r="R580" s="19"/>
    </row>
    <row r="581" spans="13:18">
      <c r="M581" s="19"/>
      <c r="N581" s="19"/>
      <c r="O581" s="19"/>
      <c r="P581" s="19"/>
      <c r="Q581" s="19"/>
      <c r="R581" s="19"/>
    </row>
    <row r="582" spans="13:18">
      <c r="M582" s="19"/>
      <c r="N582" s="19"/>
      <c r="O582" s="19"/>
      <c r="P582" s="19"/>
      <c r="Q582" s="19"/>
      <c r="R582" s="19"/>
    </row>
    <row r="583" spans="13:18">
      <c r="M583" s="19"/>
      <c r="N583" s="19"/>
      <c r="O583" s="19"/>
      <c r="P583" s="19"/>
      <c r="Q583" s="19"/>
      <c r="R583" s="19"/>
    </row>
    <row r="584" spans="13:18">
      <c r="M584" s="19"/>
      <c r="N584" s="19"/>
      <c r="O584" s="19"/>
      <c r="P584" s="19"/>
      <c r="Q584" s="19"/>
      <c r="R584" s="19"/>
    </row>
    <row r="585" spans="13:18">
      <c r="M585" s="19"/>
      <c r="N585" s="19"/>
      <c r="O585" s="19"/>
      <c r="P585" s="19"/>
      <c r="Q585" s="19"/>
      <c r="R585" s="19"/>
    </row>
    <row r="586" spans="13:18">
      <c r="M586" s="19"/>
      <c r="N586" s="19"/>
      <c r="O586" s="19"/>
      <c r="P586" s="19"/>
      <c r="Q586" s="19"/>
      <c r="R586" s="19"/>
    </row>
    <row r="587" spans="13:18">
      <c r="M587" s="19"/>
      <c r="N587" s="19"/>
      <c r="O587" s="19"/>
      <c r="P587" s="19"/>
      <c r="Q587" s="19"/>
      <c r="R587" s="19"/>
    </row>
    <row r="588" spans="13:18">
      <c r="M588" s="19"/>
      <c r="N588" s="19"/>
      <c r="O588" s="19"/>
      <c r="P588" s="19"/>
      <c r="Q588" s="19"/>
      <c r="R588" s="19"/>
    </row>
    <row r="589" spans="13:18">
      <c r="M589" s="19"/>
      <c r="N589" s="19"/>
      <c r="O589" s="19"/>
      <c r="P589" s="19"/>
      <c r="Q589" s="19"/>
      <c r="R589" s="19"/>
    </row>
    <row r="590" spans="13:18">
      <c r="M590" s="19"/>
      <c r="N590" s="19"/>
      <c r="O590" s="19"/>
      <c r="P590" s="19"/>
      <c r="Q590" s="19"/>
      <c r="R590" s="19"/>
    </row>
    <row r="591" spans="13:18">
      <c r="M591" s="19"/>
      <c r="N591" s="19"/>
      <c r="O591" s="19"/>
      <c r="P591" s="19"/>
      <c r="Q591" s="19"/>
      <c r="R591" s="19"/>
    </row>
    <row r="592" spans="13:18">
      <c r="M592" s="19"/>
      <c r="N592" s="19"/>
      <c r="O592" s="19"/>
      <c r="P592" s="19"/>
      <c r="Q592" s="19"/>
      <c r="R592" s="19"/>
    </row>
    <row r="593" spans="13:18">
      <c r="M593" s="19"/>
      <c r="N593" s="19"/>
      <c r="O593" s="19"/>
      <c r="P593" s="19"/>
      <c r="Q593" s="19"/>
      <c r="R593" s="19"/>
    </row>
    <row r="594" spans="13:18">
      <c r="M594" s="19"/>
      <c r="N594" s="19"/>
      <c r="O594" s="19"/>
      <c r="P594" s="19"/>
      <c r="Q594" s="19"/>
      <c r="R594" s="19"/>
    </row>
    <row r="595" spans="13:18">
      <c r="M595" s="19"/>
      <c r="N595" s="19"/>
      <c r="O595" s="19"/>
      <c r="P595" s="19"/>
      <c r="Q595" s="19"/>
      <c r="R595" s="19"/>
    </row>
    <row r="596" spans="13:18">
      <c r="M596" s="19"/>
      <c r="N596" s="19"/>
      <c r="O596" s="19"/>
      <c r="P596" s="19"/>
      <c r="Q596" s="19"/>
      <c r="R596" s="19"/>
    </row>
    <row r="597" spans="13:18">
      <c r="M597" s="19"/>
      <c r="N597" s="19"/>
      <c r="O597" s="19"/>
      <c r="P597" s="19"/>
      <c r="Q597" s="19"/>
      <c r="R597" s="19"/>
    </row>
    <row r="598" spans="13:18">
      <c r="M598" s="19"/>
      <c r="N598" s="19"/>
      <c r="O598" s="19"/>
      <c r="P598" s="19"/>
      <c r="Q598" s="19"/>
      <c r="R598" s="19"/>
    </row>
    <row r="599" spans="13:18">
      <c r="M599" s="19"/>
      <c r="N599" s="19"/>
      <c r="O599" s="19"/>
      <c r="P599" s="19"/>
      <c r="Q599" s="19"/>
      <c r="R599" s="19"/>
    </row>
    <row r="600" spans="13:18">
      <c r="M600" s="19"/>
      <c r="N600" s="19"/>
      <c r="O600" s="19"/>
      <c r="P600" s="19"/>
      <c r="Q600" s="19"/>
      <c r="R600" s="19"/>
    </row>
    <row r="601" spans="13:18">
      <c r="M601" s="19"/>
      <c r="N601" s="19"/>
      <c r="O601" s="19"/>
      <c r="P601" s="19"/>
      <c r="Q601" s="19"/>
      <c r="R601" s="19"/>
    </row>
    <row r="602" spans="13:18">
      <c r="M602" s="19"/>
      <c r="N602" s="19"/>
      <c r="O602" s="19"/>
      <c r="P602" s="19"/>
      <c r="Q602" s="19"/>
      <c r="R602" s="19"/>
    </row>
    <row r="603" spans="13:18">
      <c r="M603" s="19"/>
      <c r="N603" s="19"/>
      <c r="O603" s="19"/>
      <c r="P603" s="19"/>
      <c r="Q603" s="19"/>
      <c r="R603" s="19"/>
    </row>
    <row r="604" spans="13:18">
      <c r="M604" s="19"/>
      <c r="N604" s="19"/>
      <c r="O604" s="19"/>
      <c r="P604" s="19"/>
      <c r="Q604" s="19"/>
      <c r="R604" s="19"/>
    </row>
    <row r="605" spans="13:18">
      <c r="M605" s="19"/>
      <c r="N605" s="19"/>
      <c r="O605" s="19"/>
      <c r="P605" s="19"/>
      <c r="Q605" s="19"/>
      <c r="R605" s="19"/>
    </row>
    <row r="606" spans="13:18">
      <c r="M606" s="19"/>
      <c r="N606" s="19"/>
      <c r="O606" s="19"/>
      <c r="P606" s="19"/>
      <c r="Q606" s="19"/>
      <c r="R606" s="19"/>
    </row>
    <row r="607" spans="13:18">
      <c r="M607" s="19"/>
      <c r="N607" s="19"/>
      <c r="O607" s="19"/>
      <c r="P607" s="19"/>
      <c r="Q607" s="19"/>
      <c r="R607" s="19"/>
    </row>
    <row r="608" spans="13:18">
      <c r="M608" s="19"/>
      <c r="N608" s="19"/>
      <c r="O608" s="19"/>
      <c r="P608" s="19"/>
      <c r="Q608" s="19"/>
      <c r="R608" s="19"/>
    </row>
    <row r="609" spans="13:18">
      <c r="M609" s="19"/>
      <c r="N609" s="19"/>
      <c r="O609" s="19"/>
      <c r="P609" s="19"/>
      <c r="Q609" s="19"/>
      <c r="R609" s="19"/>
    </row>
    <row r="610" spans="13:18">
      <c r="M610" s="19"/>
      <c r="N610" s="19"/>
      <c r="O610" s="19"/>
      <c r="P610" s="19"/>
      <c r="Q610" s="19"/>
      <c r="R610" s="19"/>
    </row>
    <row r="611" spans="13:18">
      <c r="M611" s="19"/>
      <c r="N611" s="19"/>
      <c r="O611" s="19"/>
      <c r="P611" s="19"/>
      <c r="Q611" s="19"/>
      <c r="R611" s="19"/>
    </row>
    <row r="612" spans="13:18">
      <c r="M612" s="19"/>
      <c r="N612" s="19"/>
      <c r="O612" s="19"/>
      <c r="P612" s="19"/>
      <c r="Q612" s="19"/>
      <c r="R612" s="19"/>
    </row>
    <row r="613" spans="13:18">
      <c r="M613" s="19"/>
      <c r="N613" s="19"/>
      <c r="O613" s="19"/>
      <c r="P613" s="19"/>
      <c r="Q613" s="19"/>
      <c r="R613" s="19"/>
    </row>
    <row r="614" spans="13:18">
      <c r="M614" s="19"/>
      <c r="N614" s="19"/>
      <c r="O614" s="19"/>
      <c r="P614" s="19"/>
      <c r="Q614" s="19"/>
      <c r="R614" s="19"/>
    </row>
    <row r="615" spans="13:18">
      <c r="M615" s="19"/>
      <c r="N615" s="19"/>
      <c r="O615" s="19"/>
      <c r="P615" s="19"/>
      <c r="Q615" s="19"/>
      <c r="R615" s="19"/>
    </row>
    <row r="616" spans="13:18">
      <c r="M616" s="19"/>
      <c r="N616" s="19"/>
      <c r="O616" s="19"/>
      <c r="P616" s="19"/>
      <c r="Q616" s="19"/>
      <c r="R616" s="19"/>
    </row>
    <row r="617" spans="13:18">
      <c r="M617" s="19"/>
      <c r="N617" s="19"/>
      <c r="O617" s="19"/>
      <c r="P617" s="19"/>
      <c r="Q617" s="19"/>
      <c r="R617" s="19"/>
    </row>
    <row r="618" spans="13:18">
      <c r="M618" s="19"/>
      <c r="N618" s="19"/>
      <c r="O618" s="19"/>
      <c r="P618" s="19"/>
      <c r="Q618" s="19"/>
      <c r="R618" s="19"/>
    </row>
    <row r="619" spans="13:18">
      <c r="M619" s="19"/>
      <c r="N619" s="19"/>
      <c r="O619" s="19"/>
      <c r="P619" s="19"/>
      <c r="Q619" s="19"/>
      <c r="R619" s="19"/>
    </row>
    <row r="620" spans="13:18">
      <c r="M620" s="19"/>
      <c r="N620" s="19"/>
      <c r="O620" s="19"/>
      <c r="P620" s="19"/>
      <c r="Q620" s="19"/>
      <c r="R620" s="19"/>
    </row>
    <row r="621" spans="13:18">
      <c r="M621" s="19"/>
      <c r="N621" s="19"/>
      <c r="O621" s="19"/>
      <c r="P621" s="19"/>
      <c r="Q621" s="19"/>
      <c r="R621" s="19"/>
    </row>
    <row r="622" spans="13:18">
      <c r="M622" s="19"/>
      <c r="N622" s="19"/>
      <c r="O622" s="19"/>
      <c r="P622" s="19"/>
      <c r="Q622" s="19"/>
      <c r="R622" s="19"/>
    </row>
    <row r="623" spans="13:18">
      <c r="M623" s="19"/>
      <c r="N623" s="19"/>
      <c r="O623" s="19"/>
      <c r="P623" s="19"/>
      <c r="Q623" s="19"/>
      <c r="R623" s="19"/>
    </row>
    <row r="624" spans="13:18">
      <c r="M624" s="19"/>
      <c r="N624" s="19"/>
      <c r="O624" s="19"/>
      <c r="P624" s="19"/>
      <c r="Q624" s="19"/>
      <c r="R624" s="19"/>
    </row>
    <row r="625" spans="13:18">
      <c r="M625" s="19"/>
      <c r="N625" s="19"/>
      <c r="O625" s="19"/>
      <c r="P625" s="19"/>
      <c r="Q625" s="19"/>
      <c r="R625" s="19"/>
    </row>
    <row r="626" spans="13:18">
      <c r="M626" s="19"/>
      <c r="N626" s="19"/>
      <c r="O626" s="19"/>
      <c r="P626" s="19"/>
      <c r="Q626" s="19"/>
      <c r="R626" s="19"/>
    </row>
    <row r="627" spans="13:18">
      <c r="M627" s="19"/>
      <c r="N627" s="19"/>
      <c r="O627" s="19"/>
      <c r="P627" s="19"/>
      <c r="Q627" s="19"/>
      <c r="R627" s="19"/>
    </row>
    <row r="628" spans="13:18">
      <c r="M628" s="19"/>
      <c r="N628" s="19"/>
      <c r="O628" s="19"/>
      <c r="P628" s="19"/>
      <c r="Q628" s="19"/>
      <c r="R628" s="19"/>
    </row>
    <row r="629" spans="13:18">
      <c r="M629" s="19"/>
      <c r="N629" s="19"/>
      <c r="O629" s="19"/>
      <c r="P629" s="19"/>
      <c r="Q629" s="19"/>
      <c r="R629" s="19"/>
    </row>
    <row r="630" spans="13:18">
      <c r="M630" s="19"/>
      <c r="N630" s="19"/>
      <c r="O630" s="19"/>
      <c r="P630" s="19"/>
      <c r="Q630" s="19"/>
      <c r="R630" s="19"/>
    </row>
    <row r="631" spans="13:18">
      <c r="M631" s="19"/>
      <c r="N631" s="19"/>
      <c r="O631" s="19"/>
      <c r="P631" s="19"/>
      <c r="Q631" s="19"/>
      <c r="R631" s="19"/>
    </row>
    <row r="632" spans="13:18">
      <c r="M632" s="19"/>
      <c r="N632" s="19"/>
      <c r="O632" s="19"/>
      <c r="P632" s="19"/>
      <c r="Q632" s="19"/>
      <c r="R632" s="19"/>
    </row>
    <row r="633" spans="13:18">
      <c r="M633" s="19"/>
      <c r="N633" s="19"/>
      <c r="O633" s="19"/>
      <c r="P633" s="19"/>
      <c r="Q633" s="19"/>
      <c r="R633" s="19"/>
    </row>
    <row r="634" spans="13:18">
      <c r="M634" s="19"/>
      <c r="N634" s="19"/>
      <c r="O634" s="19"/>
      <c r="P634" s="19"/>
      <c r="Q634" s="19"/>
      <c r="R634" s="19"/>
    </row>
    <row r="635" spans="13:18">
      <c r="M635" s="19"/>
      <c r="N635" s="19"/>
      <c r="O635" s="19"/>
      <c r="P635" s="19"/>
      <c r="Q635" s="19"/>
      <c r="R635" s="19"/>
    </row>
    <row r="636" spans="13:18">
      <c r="M636" s="19"/>
      <c r="N636" s="19"/>
      <c r="O636" s="19"/>
      <c r="P636" s="19"/>
      <c r="Q636" s="19"/>
      <c r="R636" s="19"/>
    </row>
    <row r="637" spans="13:18">
      <c r="M637" s="19"/>
      <c r="N637" s="19"/>
      <c r="O637" s="19"/>
      <c r="P637" s="19"/>
      <c r="Q637" s="19"/>
      <c r="R637" s="19"/>
    </row>
    <row r="638" spans="13:18">
      <c r="M638" s="19"/>
      <c r="N638" s="19"/>
      <c r="O638" s="19"/>
      <c r="P638" s="19"/>
      <c r="Q638" s="19"/>
      <c r="R638" s="19"/>
    </row>
    <row r="639" spans="13:18">
      <c r="M639" s="19"/>
      <c r="N639" s="19"/>
      <c r="O639" s="19"/>
      <c r="P639" s="19"/>
      <c r="Q639" s="19"/>
      <c r="R639" s="19"/>
    </row>
    <row r="640" spans="13:18">
      <c r="M640" s="19"/>
      <c r="N640" s="19"/>
      <c r="O640" s="19"/>
      <c r="P640" s="19"/>
      <c r="Q640" s="19"/>
      <c r="R640" s="19"/>
    </row>
    <row r="641" spans="13:18">
      <c r="M641" s="19"/>
      <c r="N641" s="19"/>
      <c r="O641" s="19"/>
      <c r="P641" s="19"/>
      <c r="Q641" s="19"/>
      <c r="R641" s="19"/>
    </row>
    <row r="642" spans="13:18">
      <c r="M642" s="19"/>
      <c r="N642" s="19"/>
      <c r="O642" s="19"/>
      <c r="P642" s="19"/>
      <c r="Q642" s="19"/>
      <c r="R642" s="19"/>
    </row>
    <row r="643" spans="13:18">
      <c r="M643" s="19"/>
      <c r="N643" s="19"/>
      <c r="O643" s="19"/>
      <c r="P643" s="19"/>
      <c r="Q643" s="19"/>
      <c r="R643" s="19"/>
    </row>
    <row r="644" spans="13:18">
      <c r="M644" s="19"/>
      <c r="N644" s="19"/>
      <c r="O644" s="19"/>
      <c r="P644" s="19"/>
      <c r="Q644" s="19"/>
      <c r="R644" s="19"/>
    </row>
    <row r="645" spans="13:18">
      <c r="M645" s="19"/>
      <c r="N645" s="19"/>
      <c r="O645" s="19"/>
      <c r="P645" s="19"/>
      <c r="Q645" s="19"/>
      <c r="R645" s="19"/>
    </row>
    <row r="646" spans="13:18">
      <c r="M646" s="19"/>
      <c r="N646" s="19"/>
      <c r="O646" s="19"/>
      <c r="P646" s="19"/>
      <c r="Q646" s="19"/>
      <c r="R646" s="19"/>
    </row>
    <row r="647" spans="13:18">
      <c r="M647" s="19"/>
      <c r="N647" s="19"/>
      <c r="O647" s="19"/>
      <c r="P647" s="19"/>
      <c r="Q647" s="19"/>
      <c r="R647" s="19"/>
    </row>
    <row r="648" spans="13:18">
      <c r="M648" s="19"/>
      <c r="N648" s="19"/>
      <c r="O648" s="19"/>
      <c r="P648" s="19"/>
      <c r="Q648" s="19"/>
      <c r="R648" s="19"/>
    </row>
    <row r="649" spans="13:18">
      <c r="M649" s="19"/>
      <c r="N649" s="19"/>
      <c r="O649" s="19"/>
      <c r="P649" s="19"/>
      <c r="Q649" s="19"/>
      <c r="R649" s="19"/>
    </row>
    <row r="650" spans="13:18">
      <c r="M650" s="19"/>
      <c r="N650" s="19"/>
      <c r="O650" s="19"/>
      <c r="P650" s="19"/>
      <c r="Q650" s="19"/>
      <c r="R650" s="19"/>
    </row>
    <row r="651" spans="13:18">
      <c r="M651" s="19"/>
      <c r="N651" s="19"/>
      <c r="O651" s="19"/>
      <c r="P651" s="19"/>
      <c r="Q651" s="19"/>
      <c r="R651" s="19"/>
    </row>
    <row r="652" spans="13:18">
      <c r="M652" s="19"/>
      <c r="N652" s="19"/>
      <c r="O652" s="19"/>
      <c r="P652" s="19"/>
      <c r="Q652" s="19"/>
      <c r="R652" s="19"/>
    </row>
    <row r="653" spans="13:18">
      <c r="M653" s="19"/>
      <c r="N653" s="19"/>
      <c r="O653" s="19"/>
      <c r="P653" s="19"/>
      <c r="Q653" s="19"/>
      <c r="R653" s="19"/>
    </row>
    <row r="654" spans="13:18">
      <c r="M654" s="19"/>
      <c r="N654" s="19"/>
      <c r="O654" s="19"/>
      <c r="P654" s="19"/>
      <c r="Q654" s="19"/>
      <c r="R654" s="19"/>
    </row>
    <row r="655" spans="13:18">
      <c r="M655" s="19"/>
      <c r="N655" s="19"/>
      <c r="O655" s="19"/>
      <c r="P655" s="19"/>
      <c r="Q655" s="19"/>
      <c r="R655" s="19"/>
    </row>
    <row r="656" spans="13:18">
      <c r="M656" s="19"/>
      <c r="N656" s="19"/>
      <c r="O656" s="19"/>
      <c r="P656" s="19"/>
      <c r="Q656" s="19"/>
      <c r="R656" s="19"/>
    </row>
    <row r="657" spans="13:18">
      <c r="M657" s="19"/>
      <c r="N657" s="19"/>
      <c r="O657" s="19"/>
      <c r="P657" s="19"/>
      <c r="Q657" s="19"/>
      <c r="R657" s="19"/>
    </row>
    <row r="658" spans="13:18">
      <c r="M658" s="19"/>
      <c r="N658" s="19"/>
      <c r="O658" s="19"/>
      <c r="P658" s="19"/>
      <c r="Q658" s="19"/>
      <c r="R658" s="19"/>
    </row>
    <row r="659" spans="13:18">
      <c r="M659" s="19"/>
      <c r="N659" s="19"/>
      <c r="O659" s="19"/>
      <c r="P659" s="19"/>
      <c r="Q659" s="19"/>
      <c r="R659" s="19"/>
    </row>
    <row r="660" spans="13:18">
      <c r="M660" s="19"/>
      <c r="N660" s="19"/>
      <c r="O660" s="19"/>
      <c r="P660" s="19"/>
      <c r="Q660" s="19"/>
      <c r="R660" s="19"/>
    </row>
    <row r="661" spans="13:18">
      <c r="M661" s="19"/>
      <c r="N661" s="19"/>
      <c r="O661" s="19"/>
      <c r="P661" s="19"/>
      <c r="Q661" s="19"/>
      <c r="R661" s="19"/>
    </row>
    <row r="662" spans="13:18">
      <c r="M662" s="19"/>
      <c r="N662" s="19"/>
      <c r="O662" s="19"/>
      <c r="P662" s="19"/>
      <c r="Q662" s="19"/>
      <c r="R662" s="19"/>
    </row>
    <row r="663" spans="13:18">
      <c r="M663" s="19"/>
      <c r="N663" s="19"/>
      <c r="O663" s="19"/>
      <c r="P663" s="19"/>
      <c r="Q663" s="19"/>
      <c r="R663" s="19"/>
    </row>
    <row r="664" spans="13:18">
      <c r="M664" s="19"/>
      <c r="N664" s="19"/>
      <c r="O664" s="19"/>
      <c r="P664" s="19"/>
      <c r="Q664" s="19"/>
      <c r="R664" s="19"/>
    </row>
    <row r="665" spans="13:18">
      <c r="M665" s="19"/>
      <c r="N665" s="19"/>
      <c r="O665" s="19"/>
      <c r="P665" s="19"/>
      <c r="Q665" s="19"/>
      <c r="R665" s="19"/>
    </row>
    <row r="666" spans="13:18">
      <c r="M666" s="19"/>
      <c r="N666" s="19"/>
      <c r="O666" s="19"/>
      <c r="P666" s="19"/>
      <c r="Q666" s="19"/>
      <c r="R666" s="19"/>
    </row>
    <row r="667" spans="13:18">
      <c r="M667" s="19"/>
      <c r="N667" s="19"/>
      <c r="O667" s="19"/>
      <c r="P667" s="19"/>
      <c r="Q667" s="19"/>
      <c r="R667" s="19"/>
    </row>
    <row r="668" spans="13:18">
      <c r="M668" s="19"/>
      <c r="N668" s="19"/>
      <c r="O668" s="19"/>
      <c r="P668" s="19"/>
      <c r="Q668" s="19"/>
      <c r="R668" s="19"/>
    </row>
    <row r="669" spans="13:18">
      <c r="M669" s="19"/>
      <c r="N669" s="19"/>
      <c r="O669" s="19"/>
      <c r="P669" s="19"/>
      <c r="Q669" s="19"/>
      <c r="R669" s="19"/>
    </row>
    <row r="670" spans="13:18">
      <c r="M670" s="19"/>
      <c r="N670" s="19"/>
      <c r="O670" s="19"/>
      <c r="P670" s="19"/>
      <c r="Q670" s="19"/>
      <c r="R670" s="19"/>
    </row>
    <row r="671" spans="13:18">
      <c r="M671" s="19"/>
      <c r="N671" s="19"/>
      <c r="O671" s="19"/>
      <c r="P671" s="19"/>
      <c r="Q671" s="19"/>
      <c r="R671" s="19"/>
    </row>
    <row r="672" spans="13:18">
      <c r="M672" s="19"/>
      <c r="N672" s="19"/>
      <c r="O672" s="19"/>
      <c r="P672" s="19"/>
      <c r="Q672" s="19"/>
      <c r="R672" s="19"/>
    </row>
    <row r="673" spans="13:18">
      <c r="M673" s="19"/>
      <c r="N673" s="19"/>
      <c r="O673" s="19"/>
      <c r="P673" s="19"/>
      <c r="Q673" s="19"/>
      <c r="R673" s="19"/>
    </row>
    <row r="674" spans="13:18">
      <c r="M674" s="19"/>
      <c r="N674" s="19"/>
      <c r="O674" s="19"/>
      <c r="P674" s="19"/>
      <c r="Q674" s="19"/>
      <c r="R674" s="19"/>
    </row>
    <row r="675" spans="13:18">
      <c r="M675" s="19"/>
      <c r="N675" s="19"/>
      <c r="O675" s="19"/>
      <c r="P675" s="19"/>
      <c r="Q675" s="19"/>
      <c r="R675" s="19"/>
    </row>
    <row r="676" spans="13:18">
      <c r="M676" s="19"/>
      <c r="N676" s="19"/>
      <c r="O676" s="19"/>
      <c r="P676" s="19"/>
      <c r="Q676" s="19"/>
      <c r="R676" s="19"/>
    </row>
    <row r="677" spans="13:18">
      <c r="M677" s="19"/>
      <c r="N677" s="19"/>
      <c r="O677" s="19"/>
      <c r="P677" s="19"/>
      <c r="Q677" s="19"/>
      <c r="R677" s="19"/>
    </row>
    <row r="678" spans="13:18">
      <c r="M678" s="19"/>
      <c r="N678" s="19"/>
      <c r="O678" s="19"/>
      <c r="P678" s="19"/>
      <c r="Q678" s="19"/>
      <c r="R678" s="19"/>
    </row>
    <row r="679" spans="13:18">
      <c r="M679" s="19"/>
      <c r="N679" s="19"/>
      <c r="O679" s="19"/>
      <c r="P679" s="19"/>
      <c r="Q679" s="19"/>
      <c r="R679" s="19"/>
    </row>
    <row r="680" spans="13:18">
      <c r="M680" s="19"/>
      <c r="N680" s="19"/>
      <c r="O680" s="19"/>
      <c r="P680" s="19"/>
      <c r="Q680" s="19"/>
      <c r="R680" s="19"/>
    </row>
    <row r="681" spans="13:18">
      <c r="M681" s="19"/>
      <c r="N681" s="19"/>
      <c r="O681" s="19"/>
      <c r="P681" s="19"/>
      <c r="Q681" s="19"/>
      <c r="R681" s="19"/>
    </row>
    <row r="682" spans="13:18">
      <c r="M682" s="19"/>
      <c r="N682" s="19"/>
      <c r="O682" s="19"/>
      <c r="P682" s="19"/>
      <c r="Q682" s="19"/>
      <c r="R682" s="19"/>
    </row>
    <row r="683" spans="13:18">
      <c r="M683" s="19"/>
      <c r="N683" s="19"/>
      <c r="O683" s="19"/>
      <c r="P683" s="19"/>
      <c r="Q683" s="19"/>
      <c r="R683" s="19"/>
    </row>
    <row r="684" spans="13:18">
      <c r="M684" s="19"/>
      <c r="N684" s="19"/>
      <c r="O684" s="19"/>
      <c r="P684" s="19"/>
      <c r="Q684" s="19"/>
      <c r="R684" s="19"/>
    </row>
    <row r="685" spans="13:18">
      <c r="M685" s="19"/>
      <c r="N685" s="19"/>
      <c r="O685" s="19"/>
      <c r="P685" s="19"/>
      <c r="Q685" s="19"/>
      <c r="R685" s="19"/>
    </row>
    <row r="686" spans="13:18">
      <c r="M686" s="19"/>
      <c r="N686" s="19"/>
      <c r="O686" s="19"/>
      <c r="P686" s="19"/>
      <c r="Q686" s="19"/>
      <c r="R686" s="19"/>
    </row>
    <row r="687" spans="13:18">
      <c r="M687" s="19"/>
      <c r="N687" s="19"/>
      <c r="O687" s="19"/>
      <c r="P687" s="19"/>
      <c r="Q687" s="19"/>
      <c r="R687" s="19"/>
    </row>
    <row r="688" spans="13:18">
      <c r="M688" s="19"/>
      <c r="N688" s="19"/>
      <c r="O688" s="19"/>
      <c r="P688" s="19"/>
      <c r="Q688" s="19"/>
      <c r="R688" s="19"/>
    </row>
    <row r="689" spans="13:18">
      <c r="M689" s="19"/>
      <c r="N689" s="19"/>
      <c r="O689" s="19"/>
      <c r="P689" s="19"/>
      <c r="Q689" s="19"/>
      <c r="R689" s="19"/>
    </row>
    <row r="690" spans="13:18">
      <c r="M690" s="19"/>
      <c r="N690" s="19"/>
      <c r="O690" s="19"/>
      <c r="P690" s="19"/>
      <c r="Q690" s="19"/>
      <c r="R690" s="19"/>
    </row>
    <row r="691" spans="13:18">
      <c r="M691" s="19"/>
      <c r="N691" s="19"/>
      <c r="O691" s="19"/>
      <c r="P691" s="19"/>
      <c r="Q691" s="19"/>
      <c r="R691" s="19"/>
    </row>
    <row r="692" spans="13:18">
      <c r="M692" s="19"/>
      <c r="N692" s="19"/>
      <c r="O692" s="19"/>
      <c r="P692" s="19"/>
      <c r="Q692" s="19"/>
      <c r="R692" s="19"/>
    </row>
    <row r="693" spans="13:18">
      <c r="M693" s="19"/>
      <c r="N693" s="19"/>
      <c r="O693" s="19"/>
      <c r="P693" s="19"/>
      <c r="Q693" s="19"/>
      <c r="R693" s="19"/>
    </row>
    <row r="694" spans="13:18">
      <c r="M694" s="19"/>
      <c r="N694" s="19"/>
      <c r="O694" s="19"/>
      <c r="P694" s="19"/>
      <c r="Q694" s="19"/>
      <c r="R694" s="19"/>
    </row>
    <row r="695" spans="13:18">
      <c r="M695" s="19"/>
      <c r="N695" s="19"/>
      <c r="O695" s="19"/>
      <c r="P695" s="19"/>
      <c r="Q695" s="19"/>
      <c r="R695" s="19"/>
    </row>
    <row r="696" spans="13:18">
      <c r="M696" s="19"/>
      <c r="N696" s="19"/>
      <c r="O696" s="19"/>
      <c r="P696" s="19"/>
      <c r="Q696" s="19"/>
      <c r="R696" s="19"/>
    </row>
    <row r="697" spans="13:18">
      <c r="M697" s="19"/>
      <c r="N697" s="19"/>
      <c r="O697" s="19"/>
      <c r="P697" s="19"/>
      <c r="Q697" s="19"/>
      <c r="R697" s="19"/>
    </row>
    <row r="698" spans="13:18">
      <c r="M698" s="19"/>
      <c r="N698" s="19"/>
      <c r="O698" s="19"/>
      <c r="P698" s="19"/>
      <c r="Q698" s="19"/>
      <c r="R698" s="19"/>
    </row>
    <row r="699" spans="13:18">
      <c r="M699" s="19"/>
      <c r="N699" s="19"/>
      <c r="O699" s="19"/>
      <c r="P699" s="19"/>
      <c r="Q699" s="19"/>
      <c r="R699" s="19"/>
    </row>
    <row r="700" spans="13:18">
      <c r="M700" s="19"/>
      <c r="N700" s="19"/>
      <c r="O700" s="19"/>
      <c r="P700" s="19"/>
      <c r="Q700" s="19"/>
      <c r="R700" s="19"/>
    </row>
    <row r="701" spans="13:18">
      <c r="M701" s="19"/>
      <c r="N701" s="19"/>
      <c r="O701" s="19"/>
      <c r="P701" s="19"/>
      <c r="Q701" s="19"/>
      <c r="R701" s="19"/>
    </row>
    <row r="702" spans="13:18">
      <c r="M702" s="19"/>
      <c r="N702" s="19"/>
      <c r="O702" s="19"/>
      <c r="P702" s="19"/>
      <c r="Q702" s="19"/>
      <c r="R702" s="19"/>
    </row>
    <row r="703" spans="13:18">
      <c r="M703" s="19"/>
      <c r="N703" s="19"/>
      <c r="O703" s="19"/>
      <c r="P703" s="19"/>
      <c r="Q703" s="19"/>
      <c r="R703" s="19"/>
    </row>
    <row r="704" spans="13:18">
      <c r="M704" s="19"/>
      <c r="N704" s="19"/>
      <c r="O704" s="19"/>
      <c r="P704" s="19"/>
      <c r="Q704" s="19"/>
      <c r="R704" s="19"/>
    </row>
    <row r="705" spans="13:18">
      <c r="M705" s="19"/>
      <c r="N705" s="19"/>
      <c r="O705" s="19"/>
      <c r="P705" s="19"/>
      <c r="Q705" s="19"/>
      <c r="R705" s="19"/>
    </row>
    <row r="706" spans="13:18">
      <c r="M706" s="19"/>
      <c r="N706" s="19"/>
      <c r="O706" s="19"/>
      <c r="P706" s="19"/>
      <c r="Q706" s="19"/>
      <c r="R706" s="19"/>
    </row>
    <row r="707" spans="13:18">
      <c r="M707" s="19"/>
      <c r="N707" s="19"/>
      <c r="O707" s="19"/>
      <c r="P707" s="19"/>
      <c r="Q707" s="19"/>
      <c r="R707" s="19"/>
    </row>
    <row r="708" spans="13:18">
      <c r="M708" s="19"/>
      <c r="N708" s="19"/>
      <c r="O708" s="19"/>
      <c r="P708" s="19"/>
      <c r="Q708" s="19"/>
      <c r="R708" s="19"/>
    </row>
    <row r="709" spans="13:18">
      <c r="M709" s="19"/>
      <c r="N709" s="19"/>
      <c r="O709" s="19"/>
      <c r="P709" s="19"/>
      <c r="Q709" s="19"/>
      <c r="R709" s="19"/>
    </row>
    <row r="710" spans="13:18">
      <c r="M710" s="19"/>
      <c r="N710" s="19"/>
      <c r="O710" s="19"/>
      <c r="P710" s="19"/>
      <c r="Q710" s="19"/>
      <c r="R710" s="19"/>
    </row>
    <row r="711" spans="13:18">
      <c r="M711" s="19"/>
      <c r="N711" s="19"/>
      <c r="O711" s="19"/>
      <c r="P711" s="19"/>
      <c r="Q711" s="19"/>
      <c r="R711" s="19"/>
    </row>
    <row r="712" spans="13:18">
      <c r="M712" s="19"/>
      <c r="N712" s="19"/>
      <c r="O712" s="19"/>
      <c r="P712" s="19"/>
      <c r="Q712" s="19"/>
      <c r="R712" s="19"/>
    </row>
    <row r="713" spans="13:18">
      <c r="M713" s="19"/>
      <c r="N713" s="19"/>
      <c r="O713" s="19"/>
      <c r="P713" s="19"/>
      <c r="Q713" s="19"/>
      <c r="R713" s="19"/>
    </row>
    <row r="714" spans="13:18">
      <c r="M714" s="19"/>
      <c r="N714" s="19"/>
      <c r="O714" s="19"/>
      <c r="P714" s="19"/>
      <c r="Q714" s="19"/>
      <c r="R714" s="19"/>
    </row>
    <row r="715" spans="13:18">
      <c r="M715" s="19"/>
      <c r="N715" s="19"/>
      <c r="O715" s="19"/>
      <c r="P715" s="19"/>
      <c r="Q715" s="19"/>
      <c r="R715" s="19"/>
    </row>
    <row r="716" spans="13:18">
      <c r="M716" s="19"/>
      <c r="N716" s="19"/>
      <c r="O716" s="19"/>
      <c r="P716" s="19"/>
      <c r="Q716" s="19"/>
      <c r="R716" s="19"/>
    </row>
    <row r="717" spans="13:18">
      <c r="M717" s="19"/>
      <c r="N717" s="19"/>
      <c r="O717" s="19"/>
      <c r="P717" s="19"/>
      <c r="Q717" s="19"/>
      <c r="R717" s="19"/>
    </row>
    <row r="718" spans="13:18">
      <c r="M718" s="19"/>
      <c r="N718" s="19"/>
      <c r="O718" s="19"/>
      <c r="P718" s="19"/>
      <c r="Q718" s="19"/>
      <c r="R718" s="19"/>
    </row>
    <row r="719" spans="13:18">
      <c r="M719" s="19"/>
      <c r="N719" s="19"/>
      <c r="O719" s="19"/>
      <c r="P719" s="19"/>
      <c r="Q719" s="19"/>
      <c r="R719" s="19"/>
    </row>
    <row r="720" spans="13:18">
      <c r="M720" s="19"/>
      <c r="N720" s="19"/>
      <c r="O720" s="19"/>
      <c r="P720" s="19"/>
      <c r="Q720" s="19"/>
      <c r="R720" s="19"/>
    </row>
    <row r="721" spans="13:18">
      <c r="M721" s="19"/>
      <c r="N721" s="19"/>
      <c r="O721" s="19"/>
      <c r="P721" s="19"/>
      <c r="Q721" s="19"/>
      <c r="R721" s="19"/>
    </row>
    <row r="722" spans="13:18">
      <c r="M722" s="19"/>
      <c r="N722" s="19"/>
      <c r="O722" s="19"/>
      <c r="P722" s="19"/>
      <c r="Q722" s="19"/>
      <c r="R722" s="19"/>
    </row>
    <row r="723" spans="13:18">
      <c r="M723" s="19"/>
      <c r="N723" s="19"/>
      <c r="O723" s="19"/>
      <c r="P723" s="19"/>
      <c r="Q723" s="19"/>
      <c r="R723" s="19"/>
    </row>
    <row r="724" spans="13:18">
      <c r="M724" s="19"/>
      <c r="N724" s="19"/>
      <c r="O724" s="19"/>
      <c r="P724" s="19"/>
      <c r="Q724" s="19"/>
      <c r="R724" s="19"/>
    </row>
    <row r="725" spans="13:18">
      <c r="M725" s="19"/>
      <c r="N725" s="19"/>
      <c r="O725" s="19"/>
      <c r="P725" s="19"/>
      <c r="Q725" s="19"/>
      <c r="R725" s="19"/>
    </row>
    <row r="726" spans="13:18">
      <c r="M726" s="19"/>
      <c r="N726" s="19"/>
      <c r="O726" s="19"/>
      <c r="P726" s="19"/>
      <c r="Q726" s="19"/>
      <c r="R726" s="19"/>
    </row>
    <row r="727" spans="13:18">
      <c r="M727" s="19"/>
      <c r="N727" s="19"/>
      <c r="O727" s="19"/>
      <c r="P727" s="19"/>
      <c r="Q727" s="19"/>
      <c r="R727" s="19"/>
    </row>
    <row r="728" spans="13:18">
      <c r="M728" s="19"/>
      <c r="N728" s="19"/>
      <c r="O728" s="19"/>
      <c r="P728" s="19"/>
      <c r="Q728" s="19"/>
      <c r="R728" s="19"/>
    </row>
    <row r="729" spans="13:18">
      <c r="M729" s="19"/>
      <c r="N729" s="19"/>
      <c r="O729" s="19"/>
      <c r="P729" s="19"/>
      <c r="Q729" s="19"/>
      <c r="R729" s="19"/>
    </row>
    <row r="730" spans="13:18">
      <c r="M730" s="19"/>
      <c r="N730" s="19"/>
      <c r="O730" s="19"/>
      <c r="P730" s="19"/>
      <c r="Q730" s="19"/>
      <c r="R730" s="19"/>
    </row>
    <row r="731" spans="13:18">
      <c r="M731" s="19"/>
      <c r="N731" s="19"/>
      <c r="O731" s="19"/>
      <c r="P731" s="19"/>
      <c r="Q731" s="19"/>
      <c r="R731" s="19"/>
    </row>
    <row r="732" spans="13:18">
      <c r="M732" s="19"/>
      <c r="N732" s="19"/>
      <c r="O732" s="19"/>
      <c r="P732" s="19"/>
      <c r="Q732" s="19"/>
      <c r="R732" s="19"/>
    </row>
    <row r="733" spans="13:18">
      <c r="M733" s="19"/>
      <c r="N733" s="19"/>
      <c r="O733" s="19"/>
      <c r="P733" s="19"/>
      <c r="Q733" s="19"/>
      <c r="R733" s="19"/>
    </row>
    <row r="734" spans="13:18">
      <c r="M734" s="19"/>
      <c r="N734" s="19"/>
      <c r="O734" s="19"/>
      <c r="P734" s="19"/>
      <c r="Q734" s="19"/>
      <c r="R734" s="19"/>
    </row>
    <row r="735" spans="13:18">
      <c r="M735" s="19"/>
      <c r="N735" s="19"/>
      <c r="O735" s="19"/>
      <c r="P735" s="19"/>
      <c r="Q735" s="19"/>
      <c r="R735" s="19"/>
    </row>
    <row r="736" spans="13:18">
      <c r="M736" s="19"/>
      <c r="N736" s="19"/>
      <c r="O736" s="19"/>
      <c r="P736" s="19"/>
      <c r="Q736" s="19"/>
      <c r="R736" s="19"/>
    </row>
    <row r="737" spans="13:18">
      <c r="M737" s="19"/>
      <c r="N737" s="19"/>
      <c r="O737" s="19"/>
      <c r="P737" s="19"/>
      <c r="Q737" s="19"/>
      <c r="R737" s="19"/>
    </row>
    <row r="738" spans="13:18">
      <c r="M738" s="19"/>
      <c r="N738" s="19"/>
      <c r="O738" s="19"/>
      <c r="P738" s="19"/>
      <c r="Q738" s="19"/>
      <c r="R738" s="19"/>
    </row>
    <row r="739" spans="13:18">
      <c r="M739" s="19"/>
      <c r="N739" s="19"/>
      <c r="O739" s="19"/>
      <c r="P739" s="19"/>
      <c r="Q739" s="19"/>
      <c r="R739" s="19"/>
    </row>
    <row r="740" spans="13:18">
      <c r="M740" s="19"/>
      <c r="N740" s="19"/>
      <c r="O740" s="19"/>
      <c r="P740" s="19"/>
      <c r="Q740" s="19"/>
      <c r="R740" s="19"/>
    </row>
    <row r="741" spans="13:18">
      <c r="M741" s="19"/>
      <c r="N741" s="19"/>
      <c r="O741" s="19"/>
      <c r="P741" s="19"/>
      <c r="Q741" s="19"/>
      <c r="R741" s="19"/>
    </row>
    <row r="742" spans="13:18">
      <c r="M742" s="19"/>
      <c r="N742" s="19"/>
      <c r="O742" s="19"/>
      <c r="P742" s="19"/>
      <c r="Q742" s="19"/>
      <c r="R742" s="19"/>
    </row>
    <row r="743" spans="13:18">
      <c r="M743" s="19"/>
      <c r="N743" s="19"/>
      <c r="O743" s="19"/>
      <c r="P743" s="19"/>
      <c r="Q743" s="19"/>
      <c r="R743" s="19"/>
    </row>
    <row r="744" spans="13:18">
      <c r="M744" s="19"/>
      <c r="N744" s="19"/>
      <c r="O744" s="19"/>
      <c r="P744" s="19"/>
      <c r="Q744" s="19"/>
      <c r="R744" s="19"/>
    </row>
    <row r="745" spans="13:18">
      <c r="M745" s="19"/>
      <c r="N745" s="19"/>
      <c r="O745" s="19"/>
      <c r="P745" s="19"/>
      <c r="Q745" s="19"/>
      <c r="R745" s="19"/>
    </row>
    <row r="746" spans="13:18">
      <c r="M746" s="19"/>
      <c r="N746" s="19"/>
      <c r="O746" s="19"/>
      <c r="P746" s="19"/>
      <c r="Q746" s="19"/>
      <c r="R746" s="19"/>
    </row>
    <row r="747" spans="13:18">
      <c r="M747" s="19"/>
      <c r="N747" s="19"/>
      <c r="O747" s="19"/>
      <c r="P747" s="19"/>
      <c r="Q747" s="19"/>
      <c r="R747" s="19"/>
    </row>
    <row r="748" spans="13:18">
      <c r="M748" s="19"/>
      <c r="N748" s="19"/>
      <c r="O748" s="19"/>
      <c r="P748" s="19"/>
      <c r="Q748" s="19"/>
      <c r="R748" s="19"/>
    </row>
    <row r="749" spans="13:18">
      <c r="M749" s="19"/>
      <c r="N749" s="19"/>
      <c r="O749" s="19"/>
      <c r="P749" s="19"/>
      <c r="Q749" s="19"/>
      <c r="R749" s="19"/>
    </row>
    <row r="750" spans="13:18">
      <c r="M750" s="19"/>
      <c r="N750" s="19"/>
      <c r="O750" s="19"/>
      <c r="P750" s="19"/>
      <c r="Q750" s="19"/>
      <c r="R750" s="19"/>
    </row>
    <row r="751" spans="13:18">
      <c r="M751" s="19"/>
      <c r="N751" s="19"/>
      <c r="O751" s="19"/>
      <c r="P751" s="19"/>
      <c r="Q751" s="19"/>
      <c r="R751" s="19"/>
    </row>
    <row r="752" spans="13:18">
      <c r="M752" s="19"/>
      <c r="N752" s="19"/>
      <c r="O752" s="19"/>
      <c r="P752" s="19"/>
      <c r="Q752" s="19"/>
      <c r="R752" s="19"/>
    </row>
    <row r="753" spans="13:18">
      <c r="M753" s="19"/>
      <c r="N753" s="19"/>
      <c r="O753" s="19"/>
      <c r="P753" s="19"/>
      <c r="Q753" s="19"/>
      <c r="R753" s="19"/>
    </row>
    <row r="754" spans="13:18">
      <c r="M754" s="19"/>
      <c r="N754" s="19"/>
      <c r="O754" s="19"/>
      <c r="P754" s="19"/>
      <c r="Q754" s="19"/>
      <c r="R754" s="19"/>
    </row>
    <row r="755" spans="13:18">
      <c r="M755" s="19"/>
      <c r="N755" s="19"/>
      <c r="O755" s="19"/>
      <c r="P755" s="19"/>
      <c r="Q755" s="19"/>
      <c r="R755" s="19"/>
    </row>
    <row r="756" spans="13:18">
      <c r="M756" s="19"/>
      <c r="N756" s="19"/>
      <c r="O756" s="19"/>
      <c r="P756" s="19"/>
      <c r="Q756" s="19"/>
      <c r="R756" s="19"/>
    </row>
    <row r="757" spans="13:18">
      <c r="M757" s="19"/>
      <c r="N757" s="19"/>
      <c r="O757" s="19"/>
      <c r="P757" s="19"/>
      <c r="Q757" s="19"/>
      <c r="R757" s="19"/>
    </row>
    <row r="758" spans="13:18">
      <c r="M758" s="19"/>
      <c r="N758" s="19"/>
      <c r="O758" s="19"/>
      <c r="P758" s="19"/>
      <c r="Q758" s="19"/>
      <c r="R758" s="19"/>
    </row>
    <row r="759" spans="13:18">
      <c r="M759" s="19"/>
      <c r="N759" s="19"/>
      <c r="O759" s="19"/>
      <c r="P759" s="19"/>
      <c r="Q759" s="19"/>
      <c r="R759" s="19"/>
    </row>
    <row r="760" spans="13:18">
      <c r="M760" s="19"/>
      <c r="N760" s="19"/>
      <c r="O760" s="19"/>
      <c r="P760" s="19"/>
      <c r="Q760" s="19"/>
      <c r="R760" s="19"/>
    </row>
    <row r="761" spans="13:18">
      <c r="M761" s="19"/>
      <c r="N761" s="19"/>
      <c r="O761" s="19"/>
      <c r="P761" s="19"/>
      <c r="Q761" s="19"/>
      <c r="R761" s="19"/>
    </row>
    <row r="762" spans="13:18">
      <c r="M762" s="19"/>
      <c r="N762" s="19"/>
      <c r="O762" s="19"/>
      <c r="P762" s="19"/>
      <c r="Q762" s="19"/>
      <c r="R762" s="19"/>
    </row>
    <row r="763" spans="13:18">
      <c r="M763" s="19"/>
      <c r="N763" s="19"/>
      <c r="O763" s="19"/>
      <c r="P763" s="19"/>
      <c r="Q763" s="19"/>
      <c r="R763" s="19"/>
    </row>
    <row r="764" spans="13:18">
      <c r="M764" s="19"/>
      <c r="N764" s="19"/>
      <c r="O764" s="19"/>
      <c r="P764" s="19"/>
      <c r="Q764" s="19"/>
      <c r="R764" s="19"/>
    </row>
    <row r="765" spans="13:18">
      <c r="M765" s="19"/>
      <c r="N765" s="19"/>
      <c r="O765" s="19"/>
      <c r="P765" s="19"/>
      <c r="Q765" s="19"/>
      <c r="R765" s="19"/>
    </row>
    <row r="766" spans="13:18">
      <c r="M766" s="19"/>
      <c r="N766" s="19"/>
      <c r="O766" s="19"/>
      <c r="P766" s="19"/>
      <c r="Q766" s="19"/>
      <c r="R766" s="19"/>
    </row>
    <row r="767" spans="13:18">
      <c r="M767" s="19"/>
      <c r="N767" s="19"/>
      <c r="O767" s="19"/>
      <c r="P767" s="19"/>
      <c r="Q767" s="19"/>
      <c r="R767" s="19"/>
    </row>
    <row r="768" spans="13:18">
      <c r="M768" s="19"/>
      <c r="N768" s="19"/>
      <c r="O768" s="19"/>
      <c r="P768" s="19"/>
      <c r="Q768" s="19"/>
      <c r="R768" s="19"/>
    </row>
    <row r="769" spans="13:18">
      <c r="M769" s="19"/>
      <c r="N769" s="19"/>
      <c r="O769" s="19"/>
      <c r="P769" s="19"/>
      <c r="Q769" s="19"/>
      <c r="R769" s="19"/>
    </row>
    <row r="770" spans="13:18">
      <c r="M770" s="19"/>
      <c r="N770" s="19"/>
      <c r="O770" s="19"/>
      <c r="P770" s="19"/>
      <c r="Q770" s="19"/>
      <c r="R770" s="19"/>
    </row>
    <row r="771" spans="13:18">
      <c r="M771" s="19"/>
      <c r="N771" s="19"/>
      <c r="O771" s="19"/>
      <c r="P771" s="19"/>
      <c r="Q771" s="19"/>
      <c r="R771" s="19"/>
    </row>
    <row r="772" spans="13:18">
      <c r="M772" s="19"/>
      <c r="N772" s="19"/>
      <c r="O772" s="19"/>
      <c r="P772" s="19"/>
      <c r="Q772" s="19"/>
      <c r="R772" s="19"/>
    </row>
    <row r="773" spans="13:18">
      <c r="M773" s="19"/>
      <c r="N773" s="19"/>
      <c r="O773" s="19"/>
      <c r="P773" s="19"/>
      <c r="Q773" s="19"/>
      <c r="R773" s="19"/>
    </row>
    <row r="774" spans="13:18">
      <c r="M774" s="19"/>
      <c r="N774" s="19"/>
      <c r="O774" s="19"/>
      <c r="P774" s="19"/>
      <c r="Q774" s="19"/>
      <c r="R774" s="19"/>
    </row>
    <row r="775" spans="13:18">
      <c r="M775" s="19"/>
      <c r="N775" s="19"/>
      <c r="O775" s="19"/>
      <c r="P775" s="19"/>
      <c r="Q775" s="19"/>
      <c r="R775" s="19"/>
    </row>
    <row r="776" spans="13:18">
      <c r="M776" s="19"/>
      <c r="N776" s="19"/>
      <c r="O776" s="19"/>
      <c r="P776" s="19"/>
      <c r="Q776" s="19"/>
      <c r="R776" s="19"/>
    </row>
    <row r="777" spans="13:18">
      <c r="M777" s="19"/>
      <c r="N777" s="19"/>
      <c r="O777" s="19"/>
      <c r="P777" s="19"/>
      <c r="Q777" s="19"/>
      <c r="R777" s="19"/>
    </row>
    <row r="778" spans="13:18">
      <c r="M778" s="19"/>
      <c r="N778" s="19"/>
      <c r="O778" s="19"/>
      <c r="P778" s="19"/>
      <c r="Q778" s="19"/>
      <c r="R778" s="19"/>
    </row>
    <row r="779" spans="13:18">
      <c r="M779" s="19"/>
      <c r="N779" s="19"/>
      <c r="O779" s="19"/>
      <c r="P779" s="19"/>
      <c r="Q779" s="19"/>
      <c r="R779" s="19"/>
    </row>
    <row r="780" spans="13:18">
      <c r="M780" s="19"/>
      <c r="N780" s="19"/>
      <c r="O780" s="19"/>
      <c r="P780" s="19"/>
      <c r="Q780" s="19"/>
      <c r="R780" s="19"/>
    </row>
    <row r="781" spans="13:18">
      <c r="M781" s="19"/>
      <c r="N781" s="19"/>
      <c r="O781" s="19"/>
      <c r="P781" s="19"/>
      <c r="Q781" s="19"/>
      <c r="R781" s="19"/>
    </row>
    <row r="782" spans="13:18">
      <c r="M782" s="19"/>
      <c r="N782" s="19"/>
      <c r="O782" s="19"/>
      <c r="P782" s="19"/>
      <c r="Q782" s="19"/>
      <c r="R782" s="19"/>
    </row>
    <row r="783" spans="13:18">
      <c r="M783" s="19"/>
      <c r="N783" s="19"/>
      <c r="O783" s="19"/>
      <c r="P783" s="19"/>
      <c r="Q783" s="19"/>
      <c r="R783" s="19"/>
    </row>
    <row r="784" spans="13:18">
      <c r="M784" s="19"/>
      <c r="N784" s="19"/>
      <c r="O784" s="19"/>
      <c r="P784" s="19"/>
      <c r="Q784" s="19"/>
      <c r="R784" s="19"/>
    </row>
    <row r="785" spans="13:18">
      <c r="M785" s="19"/>
      <c r="N785" s="19"/>
      <c r="O785" s="19"/>
      <c r="P785" s="19"/>
      <c r="Q785" s="19"/>
      <c r="R785" s="19"/>
    </row>
    <row r="786" spans="13:18">
      <c r="M786" s="19"/>
      <c r="N786" s="19"/>
      <c r="O786" s="19"/>
      <c r="P786" s="19"/>
      <c r="Q786" s="19"/>
      <c r="R786" s="19"/>
    </row>
    <row r="787" spans="13:18">
      <c r="M787" s="19"/>
      <c r="N787" s="19"/>
      <c r="O787" s="19"/>
      <c r="P787" s="19"/>
      <c r="Q787" s="19"/>
      <c r="R787" s="19"/>
    </row>
    <row r="788" spans="13:18">
      <c r="M788" s="19"/>
      <c r="N788" s="19"/>
      <c r="O788" s="19"/>
      <c r="P788" s="19"/>
      <c r="Q788" s="19"/>
      <c r="R788" s="19"/>
    </row>
    <row r="789" spans="13:18">
      <c r="M789" s="19"/>
      <c r="N789" s="19"/>
      <c r="O789" s="19"/>
      <c r="P789" s="19"/>
      <c r="Q789" s="19"/>
      <c r="R789" s="19"/>
    </row>
    <row r="790" spans="13:18">
      <c r="M790" s="19"/>
      <c r="N790" s="19"/>
      <c r="O790" s="19"/>
      <c r="P790" s="19"/>
      <c r="Q790" s="19"/>
      <c r="R790" s="19"/>
    </row>
    <row r="791" spans="13:18">
      <c r="M791" s="19"/>
      <c r="N791" s="19"/>
      <c r="O791" s="19"/>
      <c r="P791" s="19"/>
      <c r="Q791" s="19"/>
      <c r="R791" s="19"/>
    </row>
    <row r="792" spans="13:18">
      <c r="M792" s="19"/>
      <c r="N792" s="19"/>
      <c r="O792" s="19"/>
      <c r="P792" s="19"/>
      <c r="Q792" s="19"/>
      <c r="R792" s="19"/>
    </row>
    <row r="793" spans="13:18">
      <c r="M793" s="19"/>
      <c r="N793" s="19"/>
      <c r="O793" s="19"/>
      <c r="P793" s="19"/>
      <c r="Q793" s="19"/>
      <c r="R793" s="19"/>
    </row>
    <row r="794" spans="13:18">
      <c r="M794" s="19"/>
      <c r="N794" s="19"/>
      <c r="O794" s="19"/>
      <c r="P794" s="19"/>
      <c r="Q794" s="19"/>
      <c r="R794" s="19"/>
    </row>
    <row r="795" spans="13:18">
      <c r="M795" s="19"/>
      <c r="N795" s="19"/>
      <c r="O795" s="19"/>
      <c r="P795" s="19"/>
      <c r="Q795" s="19"/>
      <c r="R795" s="19"/>
    </row>
    <row r="796" spans="13:18">
      <c r="M796" s="19"/>
      <c r="N796" s="19"/>
      <c r="O796" s="19"/>
      <c r="P796" s="19"/>
      <c r="Q796" s="19"/>
      <c r="R796" s="19"/>
    </row>
    <row r="797" spans="13:18">
      <c r="M797" s="19"/>
      <c r="N797" s="19"/>
      <c r="O797" s="19"/>
      <c r="P797" s="19"/>
      <c r="Q797" s="19"/>
      <c r="R797" s="19"/>
    </row>
    <row r="798" spans="13:18">
      <c r="M798" s="19"/>
      <c r="N798" s="19"/>
      <c r="O798" s="19"/>
      <c r="P798" s="19"/>
      <c r="Q798" s="19"/>
      <c r="R798" s="19"/>
    </row>
    <row r="799" spans="13:18">
      <c r="M799" s="19"/>
      <c r="N799" s="19"/>
      <c r="O799" s="19"/>
      <c r="P799" s="19"/>
      <c r="Q799" s="19"/>
      <c r="R799" s="19"/>
    </row>
    <row r="800" spans="13:18">
      <c r="M800" s="19"/>
      <c r="N800" s="19"/>
      <c r="O800" s="19"/>
      <c r="P800" s="19"/>
      <c r="Q800" s="19"/>
      <c r="R800" s="19"/>
    </row>
    <row r="801" spans="13:18">
      <c r="M801" s="19"/>
      <c r="N801" s="19"/>
      <c r="O801" s="19"/>
      <c r="P801" s="19"/>
      <c r="Q801" s="19"/>
      <c r="R801" s="19"/>
    </row>
    <row r="802" spans="13:18">
      <c r="M802" s="19"/>
      <c r="N802" s="19"/>
      <c r="O802" s="19"/>
      <c r="P802" s="19"/>
      <c r="Q802" s="19"/>
      <c r="R802" s="19"/>
    </row>
    <row r="803" spans="13:18">
      <c r="M803" s="19"/>
      <c r="N803" s="19"/>
      <c r="O803" s="19"/>
      <c r="P803" s="19"/>
      <c r="Q803" s="19"/>
      <c r="R803" s="19"/>
    </row>
    <row r="804" spans="13:18">
      <c r="M804" s="19"/>
      <c r="N804" s="19"/>
      <c r="O804" s="19"/>
      <c r="P804" s="19"/>
      <c r="Q804" s="19"/>
      <c r="R804" s="19"/>
    </row>
    <row r="805" spans="13:18">
      <c r="M805" s="19"/>
      <c r="N805" s="19"/>
      <c r="O805" s="19"/>
      <c r="P805" s="19"/>
      <c r="Q805" s="19"/>
      <c r="R805" s="19"/>
    </row>
    <row r="806" spans="13:18">
      <c r="M806" s="19"/>
      <c r="N806" s="19"/>
      <c r="O806" s="19"/>
      <c r="P806" s="19"/>
      <c r="Q806" s="19"/>
      <c r="R806" s="19"/>
    </row>
    <row r="807" spans="13:18">
      <c r="M807" s="19"/>
      <c r="N807" s="19"/>
      <c r="O807" s="19"/>
      <c r="P807" s="19"/>
      <c r="Q807" s="19"/>
      <c r="R807" s="19"/>
    </row>
    <row r="808" spans="13:18">
      <c r="M808" s="19"/>
      <c r="N808" s="19"/>
      <c r="O808" s="19"/>
      <c r="P808" s="19"/>
      <c r="Q808" s="19"/>
      <c r="R808" s="19"/>
    </row>
    <row r="809" spans="13:18">
      <c r="M809" s="19"/>
      <c r="N809" s="19"/>
      <c r="O809" s="19"/>
      <c r="P809" s="19"/>
      <c r="Q809" s="19"/>
      <c r="R809" s="19"/>
    </row>
    <row r="810" spans="13:18">
      <c r="M810" s="19"/>
      <c r="N810" s="19"/>
      <c r="O810" s="19"/>
      <c r="P810" s="19"/>
      <c r="Q810" s="19"/>
      <c r="R810" s="19"/>
    </row>
    <row r="811" spans="13:18">
      <c r="M811" s="19"/>
      <c r="N811" s="19"/>
      <c r="O811" s="19"/>
      <c r="P811" s="19"/>
      <c r="Q811" s="19"/>
      <c r="R811" s="19"/>
    </row>
    <row r="812" spans="13:18">
      <c r="M812" s="19"/>
      <c r="N812" s="19"/>
      <c r="O812" s="19"/>
      <c r="P812" s="19"/>
      <c r="Q812" s="19"/>
      <c r="R812" s="19"/>
    </row>
    <row r="813" spans="13:18">
      <c r="M813" s="19"/>
      <c r="N813" s="19"/>
      <c r="O813" s="19"/>
      <c r="P813" s="19"/>
      <c r="Q813" s="19"/>
      <c r="R813" s="19"/>
    </row>
    <row r="814" spans="13:18">
      <c r="M814" s="19"/>
      <c r="N814" s="19"/>
      <c r="O814" s="19"/>
      <c r="P814" s="19"/>
      <c r="Q814" s="19"/>
      <c r="R814" s="19"/>
    </row>
    <row r="815" spans="13:18">
      <c r="M815" s="19"/>
      <c r="N815" s="19"/>
      <c r="O815" s="19"/>
      <c r="P815" s="19"/>
      <c r="Q815" s="19"/>
      <c r="R815" s="19"/>
    </row>
    <row r="816" spans="13:18">
      <c r="M816" s="19"/>
      <c r="N816" s="19"/>
      <c r="O816" s="19"/>
      <c r="P816" s="19"/>
      <c r="Q816" s="19"/>
      <c r="R816" s="19"/>
    </row>
    <row r="817" spans="13:18">
      <c r="M817" s="19"/>
      <c r="N817" s="19"/>
      <c r="O817" s="19"/>
      <c r="P817" s="19"/>
      <c r="Q817" s="19"/>
      <c r="R817" s="19"/>
    </row>
    <row r="818" spans="13:18">
      <c r="M818" s="19"/>
      <c r="N818" s="19"/>
      <c r="O818" s="19"/>
      <c r="P818" s="19"/>
      <c r="Q818" s="19"/>
      <c r="R818" s="19"/>
    </row>
    <row r="819" spans="13:18">
      <c r="M819" s="19"/>
      <c r="N819" s="19"/>
      <c r="O819" s="19"/>
      <c r="P819" s="19"/>
      <c r="Q819" s="19"/>
      <c r="R819" s="19"/>
    </row>
    <row r="820" spans="13:18">
      <c r="M820" s="19"/>
      <c r="N820" s="19"/>
      <c r="O820" s="19"/>
      <c r="P820" s="19"/>
      <c r="Q820" s="19"/>
      <c r="R820" s="19"/>
    </row>
    <row r="821" spans="13:18">
      <c r="M821" s="19"/>
      <c r="N821" s="19"/>
      <c r="O821" s="19"/>
      <c r="P821" s="19"/>
      <c r="Q821" s="19"/>
      <c r="R821" s="19"/>
    </row>
    <row r="822" spans="13:18">
      <c r="M822" s="19"/>
      <c r="N822" s="19"/>
      <c r="O822" s="19"/>
      <c r="P822" s="19"/>
      <c r="Q822" s="19"/>
      <c r="R822" s="19"/>
    </row>
    <row r="823" spans="13:18">
      <c r="M823" s="19"/>
      <c r="N823" s="19"/>
      <c r="O823" s="19"/>
      <c r="P823" s="19"/>
      <c r="Q823" s="19"/>
      <c r="R823" s="19"/>
    </row>
    <row r="824" spans="13:18">
      <c r="M824" s="19"/>
      <c r="N824" s="19"/>
      <c r="O824" s="19"/>
      <c r="P824" s="19"/>
      <c r="Q824" s="19"/>
      <c r="R824" s="19"/>
    </row>
    <row r="825" spans="13:18">
      <c r="M825" s="19"/>
      <c r="N825" s="19"/>
      <c r="O825" s="19"/>
      <c r="P825" s="19"/>
      <c r="Q825" s="19"/>
      <c r="R825" s="19"/>
    </row>
    <row r="826" spans="13:18">
      <c r="M826" s="19"/>
      <c r="N826" s="19"/>
      <c r="O826" s="19"/>
      <c r="P826" s="19"/>
      <c r="Q826" s="19"/>
      <c r="R826" s="19"/>
    </row>
    <row r="827" spans="13:18">
      <c r="M827" s="19"/>
      <c r="N827" s="19"/>
      <c r="O827" s="19"/>
      <c r="P827" s="19"/>
      <c r="Q827" s="19"/>
      <c r="R827" s="19"/>
    </row>
    <row r="828" spans="13:18">
      <c r="M828" s="19"/>
      <c r="N828" s="19"/>
      <c r="O828" s="19"/>
      <c r="P828" s="19"/>
      <c r="Q828" s="19"/>
      <c r="R828" s="19"/>
    </row>
    <row r="829" spans="13:18">
      <c r="M829" s="19"/>
      <c r="N829" s="19"/>
      <c r="O829" s="19"/>
      <c r="P829" s="19"/>
      <c r="Q829" s="19"/>
      <c r="R829" s="19"/>
    </row>
    <row r="830" spans="13:18">
      <c r="M830" s="19"/>
      <c r="N830" s="19"/>
      <c r="O830" s="19"/>
      <c r="P830" s="19"/>
      <c r="Q830" s="19"/>
      <c r="R830" s="19"/>
    </row>
    <row r="831" spans="13:18">
      <c r="M831" s="19"/>
      <c r="N831" s="19"/>
      <c r="O831" s="19"/>
      <c r="P831" s="19"/>
      <c r="Q831" s="19"/>
      <c r="R831" s="19"/>
    </row>
    <row r="832" spans="13:18">
      <c r="M832" s="19"/>
      <c r="N832" s="19"/>
      <c r="O832" s="19"/>
      <c r="P832" s="19"/>
      <c r="Q832" s="19"/>
      <c r="R832" s="19"/>
    </row>
    <row r="833" spans="13:18">
      <c r="M833" s="19"/>
      <c r="N833" s="19"/>
      <c r="O833" s="19"/>
      <c r="P833" s="19"/>
      <c r="Q833" s="19"/>
      <c r="R833" s="19"/>
    </row>
    <row r="834" spans="13:18">
      <c r="M834" s="19"/>
      <c r="N834" s="19"/>
      <c r="O834" s="19"/>
      <c r="P834" s="19"/>
      <c r="Q834" s="19"/>
      <c r="R834" s="19"/>
    </row>
    <row r="835" spans="13:18">
      <c r="M835" s="19"/>
      <c r="N835" s="19"/>
      <c r="O835" s="19"/>
      <c r="P835" s="19"/>
      <c r="Q835" s="19"/>
      <c r="R835" s="19"/>
    </row>
    <row r="836" spans="13:18">
      <c r="M836" s="19"/>
      <c r="N836" s="19"/>
      <c r="O836" s="19"/>
      <c r="P836" s="19"/>
      <c r="Q836" s="19"/>
      <c r="R836" s="19"/>
    </row>
    <row r="837" spans="13:18">
      <c r="M837" s="19"/>
      <c r="N837" s="19"/>
      <c r="O837" s="19"/>
      <c r="P837" s="19"/>
      <c r="Q837" s="19"/>
      <c r="R837" s="19"/>
    </row>
    <row r="838" spans="13:18">
      <c r="M838" s="19"/>
      <c r="N838" s="19"/>
      <c r="O838" s="19"/>
      <c r="P838" s="19"/>
      <c r="Q838" s="19"/>
      <c r="R838" s="19"/>
    </row>
    <row r="839" spans="13:18">
      <c r="M839" s="19"/>
      <c r="N839" s="19"/>
      <c r="O839" s="19"/>
      <c r="P839" s="19"/>
      <c r="Q839" s="19"/>
      <c r="R839" s="19"/>
    </row>
    <row r="840" spans="13:18">
      <c r="M840" s="19"/>
      <c r="N840" s="19"/>
      <c r="O840" s="19"/>
      <c r="P840" s="19"/>
      <c r="Q840" s="19"/>
      <c r="R840" s="19"/>
    </row>
    <row r="841" spans="13:18">
      <c r="M841" s="19"/>
      <c r="N841" s="19"/>
      <c r="O841" s="19"/>
      <c r="P841" s="19"/>
      <c r="Q841" s="19"/>
      <c r="R841" s="19"/>
    </row>
    <row r="842" spans="13:18">
      <c r="M842" s="19"/>
      <c r="N842" s="19"/>
      <c r="O842" s="19"/>
      <c r="P842" s="19"/>
      <c r="Q842" s="19"/>
      <c r="R842" s="19"/>
    </row>
    <row r="843" spans="13:18">
      <c r="M843" s="19"/>
      <c r="N843" s="19"/>
      <c r="O843" s="19"/>
      <c r="P843" s="19"/>
      <c r="Q843" s="19"/>
      <c r="R843" s="19"/>
    </row>
    <row r="844" spans="13:18">
      <c r="M844" s="19"/>
      <c r="N844" s="19"/>
      <c r="O844" s="19"/>
      <c r="P844" s="19"/>
      <c r="Q844" s="19"/>
      <c r="R844" s="19"/>
    </row>
    <row r="845" spans="13:18">
      <c r="M845" s="19"/>
      <c r="N845" s="19"/>
      <c r="O845" s="19"/>
      <c r="P845" s="19"/>
      <c r="Q845" s="19"/>
      <c r="R845" s="19"/>
    </row>
    <row r="846" spans="13:18">
      <c r="M846" s="19"/>
      <c r="N846" s="19"/>
      <c r="O846" s="19"/>
      <c r="P846" s="19"/>
      <c r="Q846" s="19"/>
      <c r="R846" s="19"/>
    </row>
    <row r="847" spans="13:18">
      <c r="M847" s="19"/>
      <c r="N847" s="19"/>
      <c r="O847" s="19"/>
      <c r="P847" s="19"/>
      <c r="Q847" s="19"/>
      <c r="R847" s="19"/>
    </row>
    <row r="848" spans="13:18">
      <c r="M848" s="19"/>
      <c r="N848" s="19"/>
      <c r="O848" s="19"/>
      <c r="P848" s="19"/>
      <c r="Q848" s="19"/>
      <c r="R848" s="19"/>
    </row>
    <row r="849" spans="13:18">
      <c r="M849" s="19"/>
      <c r="N849" s="19"/>
      <c r="O849" s="19"/>
      <c r="P849" s="19"/>
      <c r="Q849" s="19"/>
      <c r="R849" s="19"/>
    </row>
    <row r="850" spans="13:18">
      <c r="M850" s="19"/>
      <c r="N850" s="19"/>
      <c r="O850" s="19"/>
      <c r="P850" s="19"/>
      <c r="Q850" s="19"/>
      <c r="R850" s="19"/>
    </row>
    <row r="851" spans="13:18">
      <c r="M851" s="19"/>
      <c r="N851" s="19"/>
      <c r="O851" s="19"/>
      <c r="P851" s="19"/>
      <c r="Q851" s="19"/>
      <c r="R851" s="19"/>
    </row>
    <row r="852" spans="13:18">
      <c r="M852" s="19"/>
      <c r="N852" s="19"/>
      <c r="O852" s="19"/>
      <c r="P852" s="19"/>
      <c r="Q852" s="19"/>
      <c r="R852" s="19"/>
    </row>
    <row r="853" spans="13:18">
      <c r="M853" s="19"/>
      <c r="N853" s="19"/>
      <c r="O853" s="19"/>
      <c r="P853" s="19"/>
      <c r="Q853" s="19"/>
      <c r="R853" s="19"/>
    </row>
    <row r="854" spans="13:18">
      <c r="M854" s="19"/>
      <c r="N854" s="19"/>
      <c r="O854" s="19"/>
      <c r="P854" s="19"/>
      <c r="Q854" s="19"/>
      <c r="R854" s="19"/>
    </row>
    <row r="855" spans="13:18">
      <c r="M855" s="19"/>
      <c r="N855" s="19"/>
      <c r="O855" s="19"/>
      <c r="P855" s="19"/>
      <c r="Q855" s="19"/>
      <c r="R855" s="19"/>
    </row>
    <row r="856" spans="13:18">
      <c r="M856" s="19"/>
      <c r="N856" s="19"/>
      <c r="O856" s="19"/>
      <c r="P856" s="19"/>
      <c r="Q856" s="19"/>
      <c r="R856" s="19"/>
    </row>
    <row r="857" spans="13:18">
      <c r="M857" s="19"/>
      <c r="N857" s="19"/>
      <c r="O857" s="19"/>
      <c r="P857" s="19"/>
      <c r="Q857" s="19"/>
      <c r="R857" s="19"/>
    </row>
    <row r="858" spans="13:18">
      <c r="M858" s="19"/>
      <c r="N858" s="19"/>
      <c r="O858" s="19"/>
      <c r="P858" s="19"/>
      <c r="Q858" s="19"/>
      <c r="R858" s="19"/>
    </row>
    <row r="859" spans="13:18">
      <c r="M859" s="19"/>
      <c r="N859" s="19"/>
      <c r="O859" s="19"/>
      <c r="P859" s="19"/>
      <c r="Q859" s="19"/>
      <c r="R859" s="19"/>
    </row>
    <row r="860" spans="13:18">
      <c r="M860" s="19"/>
      <c r="N860" s="19"/>
      <c r="O860" s="19"/>
      <c r="P860" s="19"/>
      <c r="Q860" s="19"/>
      <c r="R860" s="19"/>
    </row>
    <row r="861" spans="13:18">
      <c r="M861" s="19"/>
      <c r="N861" s="19"/>
      <c r="O861" s="19"/>
      <c r="P861" s="19"/>
      <c r="Q861" s="19"/>
      <c r="R861" s="19"/>
    </row>
    <row r="862" spans="13:18">
      <c r="M862" s="19"/>
      <c r="N862" s="19"/>
      <c r="O862" s="19"/>
      <c r="P862" s="19"/>
      <c r="Q862" s="19"/>
      <c r="R862" s="19"/>
    </row>
    <row r="863" spans="13:18">
      <c r="M863" s="19"/>
      <c r="N863" s="19"/>
      <c r="O863" s="19"/>
      <c r="P863" s="19"/>
      <c r="Q863" s="19"/>
      <c r="R863" s="19"/>
    </row>
    <row r="864" spans="13:18">
      <c r="M864" s="19"/>
      <c r="N864" s="19"/>
      <c r="O864" s="19"/>
      <c r="P864" s="19"/>
      <c r="Q864" s="19"/>
      <c r="R864" s="19"/>
    </row>
    <row r="865" spans="13:18">
      <c r="M865" s="19"/>
      <c r="N865" s="19"/>
      <c r="O865" s="19"/>
      <c r="P865" s="19"/>
      <c r="Q865" s="19"/>
      <c r="R865" s="19"/>
    </row>
    <row r="866" spans="13:18">
      <c r="M866" s="19"/>
      <c r="N866" s="19"/>
      <c r="O866" s="19"/>
      <c r="P866" s="19"/>
      <c r="Q866" s="19"/>
      <c r="R866" s="19"/>
    </row>
    <row r="867" spans="13:18">
      <c r="M867" s="19"/>
      <c r="N867" s="19"/>
      <c r="O867" s="19"/>
      <c r="P867" s="19"/>
      <c r="Q867" s="19"/>
      <c r="R867" s="19"/>
    </row>
    <row r="868" spans="13:18">
      <c r="M868" s="19"/>
      <c r="N868" s="19"/>
      <c r="O868" s="19"/>
      <c r="P868" s="19"/>
      <c r="Q868" s="19"/>
      <c r="R868" s="19"/>
    </row>
    <row r="869" spans="13:18">
      <c r="M869" s="19"/>
      <c r="N869" s="19"/>
      <c r="O869" s="19"/>
      <c r="P869" s="19"/>
      <c r="Q869" s="19"/>
      <c r="R869" s="19"/>
    </row>
    <row r="870" spans="13:18">
      <c r="M870" s="19"/>
      <c r="N870" s="19"/>
      <c r="O870" s="19"/>
      <c r="P870" s="19"/>
      <c r="Q870" s="19"/>
      <c r="R870" s="19"/>
    </row>
    <row r="871" spans="13:18">
      <c r="M871" s="19"/>
      <c r="N871" s="19"/>
      <c r="O871" s="19"/>
      <c r="P871" s="19"/>
      <c r="Q871" s="19"/>
      <c r="R871" s="19"/>
    </row>
    <row r="872" spans="13:18">
      <c r="M872" s="19"/>
      <c r="N872" s="19"/>
      <c r="O872" s="19"/>
      <c r="P872" s="19"/>
      <c r="Q872" s="19"/>
      <c r="R872" s="19"/>
    </row>
    <row r="873" spans="13:18">
      <c r="M873" s="19"/>
      <c r="N873" s="19"/>
      <c r="O873" s="19"/>
      <c r="P873" s="19"/>
      <c r="Q873" s="19"/>
      <c r="R873" s="19"/>
    </row>
    <row r="874" spans="13:18">
      <c r="M874" s="19"/>
      <c r="N874" s="19"/>
      <c r="O874" s="19"/>
      <c r="P874" s="19"/>
      <c r="Q874" s="19"/>
      <c r="R874" s="19"/>
    </row>
    <row r="875" spans="13:18">
      <c r="M875" s="19"/>
      <c r="N875" s="19"/>
      <c r="O875" s="19"/>
      <c r="P875" s="19"/>
      <c r="Q875" s="19"/>
      <c r="R875" s="19"/>
    </row>
    <row r="876" spans="13:18">
      <c r="M876" s="19"/>
      <c r="N876" s="19"/>
      <c r="O876" s="19"/>
      <c r="P876" s="19"/>
      <c r="Q876" s="19"/>
      <c r="R876" s="19"/>
    </row>
    <row r="877" spans="13:18">
      <c r="M877" s="19"/>
      <c r="N877" s="19"/>
      <c r="O877" s="19"/>
      <c r="P877" s="19"/>
      <c r="Q877" s="19"/>
      <c r="R877" s="19"/>
    </row>
    <row r="878" spans="13:18">
      <c r="M878" s="19"/>
      <c r="N878" s="19"/>
      <c r="O878" s="19"/>
      <c r="P878" s="19"/>
      <c r="Q878" s="19"/>
      <c r="R878" s="19"/>
    </row>
    <row r="879" spans="13:18">
      <c r="M879" s="19"/>
      <c r="N879" s="19"/>
      <c r="O879" s="19"/>
      <c r="P879" s="19"/>
      <c r="Q879" s="19"/>
      <c r="R879" s="19"/>
    </row>
    <row r="880" spans="13:18">
      <c r="M880" s="19"/>
      <c r="N880" s="19"/>
      <c r="O880" s="19"/>
      <c r="P880" s="19"/>
      <c r="Q880" s="19"/>
      <c r="R880" s="19"/>
    </row>
    <row r="881" spans="13:18">
      <c r="M881" s="19"/>
      <c r="N881" s="19"/>
      <c r="O881" s="19"/>
      <c r="P881" s="19"/>
      <c r="Q881" s="19"/>
      <c r="R881" s="19"/>
    </row>
    <row r="882" spans="13:18">
      <c r="M882" s="19"/>
      <c r="N882" s="19"/>
      <c r="O882" s="19"/>
      <c r="P882" s="19"/>
      <c r="Q882" s="19"/>
      <c r="R882" s="19"/>
    </row>
    <row r="883" spans="13:18">
      <c r="M883" s="19"/>
      <c r="N883" s="19"/>
      <c r="O883" s="19"/>
      <c r="P883" s="19"/>
      <c r="Q883" s="19"/>
      <c r="R883" s="19"/>
    </row>
    <row r="884" spans="13:18">
      <c r="M884" s="19"/>
      <c r="N884" s="19"/>
      <c r="O884" s="19"/>
      <c r="P884" s="19"/>
      <c r="Q884" s="19"/>
      <c r="R884" s="19"/>
    </row>
    <row r="885" spans="13:18">
      <c r="M885" s="19"/>
      <c r="N885" s="19"/>
      <c r="O885" s="19"/>
      <c r="P885" s="19"/>
      <c r="Q885" s="19"/>
      <c r="R885" s="19"/>
    </row>
    <row r="886" spans="13:18">
      <c r="M886" s="19"/>
      <c r="N886" s="19"/>
      <c r="O886" s="19"/>
      <c r="P886" s="19"/>
      <c r="Q886" s="19"/>
      <c r="R886" s="19"/>
    </row>
    <row r="887" spans="13:18">
      <c r="M887" s="19"/>
      <c r="N887" s="19"/>
      <c r="O887" s="19"/>
      <c r="P887" s="19"/>
      <c r="Q887" s="19"/>
      <c r="R887" s="19"/>
    </row>
    <row r="888" spans="13:18">
      <c r="M888" s="19"/>
      <c r="N888" s="19"/>
      <c r="O888" s="19"/>
      <c r="P888" s="19"/>
      <c r="Q888" s="19"/>
      <c r="R888" s="19"/>
    </row>
    <row r="889" spans="13:18">
      <c r="M889" s="19"/>
      <c r="N889" s="19"/>
      <c r="O889" s="19"/>
      <c r="P889" s="19"/>
      <c r="Q889" s="19"/>
      <c r="R889" s="19"/>
    </row>
    <row r="890" spans="13:18">
      <c r="M890" s="19"/>
      <c r="N890" s="19"/>
      <c r="O890" s="19"/>
      <c r="P890" s="19"/>
      <c r="Q890" s="19"/>
      <c r="R890" s="19"/>
    </row>
    <row r="891" spans="13:18">
      <c r="M891" s="19"/>
      <c r="N891" s="19"/>
      <c r="O891" s="19"/>
      <c r="P891" s="19"/>
      <c r="Q891" s="19"/>
      <c r="R891" s="19"/>
    </row>
    <row r="892" spans="13:18">
      <c r="M892" s="19"/>
      <c r="N892" s="19"/>
      <c r="O892" s="19"/>
      <c r="P892" s="19"/>
      <c r="Q892" s="19"/>
      <c r="R892" s="19"/>
    </row>
    <row r="893" spans="13:18">
      <c r="M893" s="19"/>
      <c r="N893" s="19"/>
      <c r="O893" s="19"/>
      <c r="P893" s="19"/>
      <c r="Q893" s="19"/>
      <c r="R893" s="19"/>
    </row>
    <row r="894" spans="13:18">
      <c r="M894" s="19"/>
      <c r="N894" s="19"/>
      <c r="O894" s="19"/>
      <c r="P894" s="19"/>
      <c r="Q894" s="19"/>
      <c r="R894" s="19"/>
    </row>
    <row r="895" spans="13:18">
      <c r="M895" s="19"/>
      <c r="N895" s="19"/>
      <c r="O895" s="19"/>
      <c r="P895" s="19"/>
      <c r="Q895" s="19"/>
      <c r="R895" s="19"/>
    </row>
    <row r="896" spans="13:18">
      <c r="M896" s="19"/>
      <c r="N896" s="19"/>
      <c r="O896" s="19"/>
      <c r="P896" s="19"/>
      <c r="Q896" s="19"/>
      <c r="R896" s="19"/>
    </row>
    <row r="897" spans="13:18">
      <c r="M897" s="19"/>
      <c r="N897" s="19"/>
      <c r="O897" s="19"/>
      <c r="P897" s="19"/>
      <c r="Q897" s="19"/>
      <c r="R897" s="19"/>
    </row>
    <row r="898" spans="13:18">
      <c r="M898" s="19"/>
      <c r="N898" s="19"/>
      <c r="O898" s="19"/>
      <c r="P898" s="19"/>
      <c r="Q898" s="19"/>
      <c r="R898" s="19"/>
    </row>
    <row r="899" spans="13:18">
      <c r="M899" s="19"/>
      <c r="N899" s="19"/>
      <c r="O899" s="19"/>
      <c r="P899" s="19"/>
      <c r="Q899" s="19"/>
      <c r="R899" s="19"/>
    </row>
    <row r="900" spans="13:18">
      <c r="M900" s="19"/>
      <c r="N900" s="19"/>
      <c r="O900" s="19"/>
      <c r="P900" s="19"/>
      <c r="Q900" s="19"/>
      <c r="R900" s="19"/>
    </row>
    <row r="901" spans="13:18">
      <c r="M901" s="19"/>
      <c r="N901" s="19"/>
      <c r="O901" s="19"/>
      <c r="P901" s="19"/>
      <c r="Q901" s="19"/>
      <c r="R901" s="19"/>
    </row>
    <row r="902" spans="13:18">
      <c r="M902" s="19"/>
      <c r="N902" s="19"/>
      <c r="O902" s="19"/>
      <c r="P902" s="19"/>
      <c r="Q902" s="19"/>
      <c r="R902" s="19"/>
    </row>
    <row r="903" spans="13:18">
      <c r="M903" s="19"/>
      <c r="N903" s="19"/>
      <c r="O903" s="19"/>
      <c r="P903" s="19"/>
      <c r="Q903" s="19"/>
      <c r="R903" s="19"/>
    </row>
    <row r="904" spans="13:18">
      <c r="M904" s="19"/>
      <c r="N904" s="19"/>
      <c r="O904" s="19"/>
      <c r="P904" s="19"/>
      <c r="Q904" s="19"/>
      <c r="R904" s="19"/>
    </row>
    <row r="905" spans="13:18">
      <c r="M905" s="19"/>
      <c r="N905" s="19"/>
      <c r="O905" s="19"/>
      <c r="P905" s="19"/>
      <c r="Q905" s="19"/>
      <c r="R905" s="19"/>
    </row>
    <row r="906" spans="13:18">
      <c r="M906" s="19"/>
      <c r="N906" s="19"/>
      <c r="O906" s="19"/>
      <c r="P906" s="19"/>
      <c r="Q906" s="19"/>
      <c r="R906" s="19"/>
    </row>
    <row r="907" spans="13:18">
      <c r="M907" s="19"/>
      <c r="N907" s="19"/>
      <c r="O907" s="19"/>
      <c r="P907" s="19"/>
      <c r="Q907" s="19"/>
      <c r="R907" s="19"/>
    </row>
    <row r="908" spans="13:18">
      <c r="M908" s="19"/>
      <c r="N908" s="19"/>
      <c r="O908" s="19"/>
      <c r="P908" s="19"/>
      <c r="Q908" s="19"/>
      <c r="R908" s="19"/>
    </row>
    <row r="909" spans="13:18">
      <c r="M909" s="19"/>
      <c r="N909" s="19"/>
      <c r="O909" s="19"/>
      <c r="P909" s="19"/>
      <c r="Q909" s="19"/>
      <c r="R909" s="19"/>
    </row>
    <row r="910" spans="13:18">
      <c r="M910" s="19"/>
      <c r="N910" s="19"/>
      <c r="O910" s="19"/>
      <c r="P910" s="19"/>
      <c r="Q910" s="19"/>
      <c r="R910" s="19"/>
    </row>
    <row r="911" spans="13:18">
      <c r="M911" s="19"/>
      <c r="N911" s="19"/>
      <c r="O911" s="19"/>
      <c r="P911" s="19"/>
      <c r="Q911" s="19"/>
      <c r="R911" s="19"/>
    </row>
    <row r="912" spans="13:18">
      <c r="M912" s="19"/>
      <c r="N912" s="19"/>
      <c r="O912" s="19"/>
      <c r="P912" s="19"/>
      <c r="Q912" s="19"/>
      <c r="R912" s="19"/>
    </row>
    <row r="913" spans="13:18">
      <c r="M913" s="19"/>
      <c r="N913" s="19"/>
      <c r="O913" s="19"/>
      <c r="P913" s="19"/>
      <c r="Q913" s="19"/>
      <c r="R913" s="19"/>
    </row>
    <row r="914" spans="13:18">
      <c r="M914" s="19"/>
      <c r="N914" s="19"/>
      <c r="O914" s="19"/>
      <c r="P914" s="19"/>
      <c r="Q914" s="19"/>
      <c r="R914" s="19"/>
    </row>
    <row r="915" spans="13:18">
      <c r="M915" s="19"/>
      <c r="N915" s="19"/>
      <c r="O915" s="19"/>
      <c r="P915" s="19"/>
      <c r="Q915" s="19"/>
      <c r="R915" s="19"/>
    </row>
    <row r="916" spans="13:18">
      <c r="M916" s="19"/>
      <c r="N916" s="19"/>
      <c r="O916" s="19"/>
      <c r="P916" s="19"/>
      <c r="Q916" s="19"/>
      <c r="R916" s="19"/>
    </row>
    <row r="917" spans="13:18">
      <c r="M917" s="19"/>
      <c r="N917" s="19"/>
      <c r="O917" s="19"/>
      <c r="P917" s="19"/>
      <c r="Q917" s="19"/>
      <c r="R917" s="19"/>
    </row>
    <row r="918" spans="13:18">
      <c r="M918" s="19"/>
      <c r="N918" s="19"/>
      <c r="O918" s="19"/>
      <c r="P918" s="19"/>
      <c r="Q918" s="19"/>
      <c r="R918" s="19"/>
    </row>
    <row r="919" spans="13:18">
      <c r="M919" s="19"/>
      <c r="N919" s="19"/>
      <c r="O919" s="19"/>
      <c r="P919" s="19"/>
      <c r="Q919" s="19"/>
      <c r="R919" s="19"/>
    </row>
    <row r="920" spans="13:18">
      <c r="M920" s="19"/>
      <c r="N920" s="19"/>
      <c r="O920" s="19"/>
      <c r="P920" s="19"/>
      <c r="Q920" s="19"/>
      <c r="R920" s="19"/>
    </row>
    <row r="921" spans="13:18">
      <c r="M921" s="19"/>
      <c r="N921" s="19"/>
      <c r="O921" s="19"/>
      <c r="P921" s="19"/>
      <c r="Q921" s="19"/>
      <c r="R921" s="19"/>
    </row>
    <row r="922" spans="13:18">
      <c r="M922" s="19"/>
      <c r="N922" s="19"/>
      <c r="O922" s="19"/>
      <c r="P922" s="19"/>
      <c r="Q922" s="19"/>
      <c r="R922" s="19"/>
    </row>
    <row r="923" spans="13:18">
      <c r="M923" s="19"/>
      <c r="N923" s="19"/>
      <c r="O923" s="19"/>
      <c r="P923" s="19"/>
      <c r="Q923" s="19"/>
      <c r="R923" s="19"/>
    </row>
    <row r="924" spans="13:18">
      <c r="M924" s="19"/>
      <c r="N924" s="19"/>
      <c r="O924" s="19"/>
      <c r="P924" s="19"/>
      <c r="Q924" s="19"/>
      <c r="R924" s="19"/>
    </row>
    <row r="925" spans="13:18">
      <c r="M925" s="19"/>
      <c r="N925" s="19"/>
      <c r="O925" s="19"/>
      <c r="P925" s="19"/>
      <c r="Q925" s="19"/>
      <c r="R925" s="19"/>
    </row>
    <row r="926" spans="13:18">
      <c r="M926" s="19"/>
      <c r="N926" s="19"/>
      <c r="O926" s="19"/>
      <c r="P926" s="19"/>
      <c r="Q926" s="19"/>
      <c r="R926" s="19"/>
    </row>
    <row r="927" spans="13:18">
      <c r="M927" s="19"/>
      <c r="N927" s="19"/>
      <c r="O927" s="19"/>
      <c r="P927" s="19"/>
      <c r="Q927" s="19"/>
      <c r="R927" s="19"/>
    </row>
    <row r="928" spans="13:18">
      <c r="M928" s="19"/>
      <c r="N928" s="19"/>
      <c r="O928" s="19"/>
      <c r="P928" s="19"/>
      <c r="Q928" s="19"/>
      <c r="R928" s="19"/>
    </row>
    <row r="929" spans="13:18">
      <c r="M929" s="19"/>
      <c r="N929" s="19"/>
      <c r="O929" s="19"/>
      <c r="P929" s="19"/>
      <c r="Q929" s="19"/>
      <c r="R929" s="19"/>
    </row>
    <row r="930" spans="13:18">
      <c r="M930" s="19"/>
      <c r="N930" s="19"/>
      <c r="O930" s="19"/>
      <c r="P930" s="19"/>
      <c r="Q930" s="19"/>
      <c r="R930" s="19"/>
    </row>
    <row r="931" spans="13:18">
      <c r="M931" s="19"/>
      <c r="N931" s="19"/>
      <c r="O931" s="19"/>
      <c r="P931" s="19"/>
      <c r="Q931" s="19"/>
      <c r="R931" s="19"/>
    </row>
    <row r="932" spans="13:18">
      <c r="M932" s="19"/>
      <c r="N932" s="19"/>
      <c r="O932" s="19"/>
      <c r="P932" s="19"/>
      <c r="Q932" s="19"/>
      <c r="R932" s="19"/>
    </row>
    <row r="933" spans="13:18">
      <c r="M933" s="19"/>
      <c r="N933" s="19"/>
      <c r="O933" s="19"/>
      <c r="P933" s="19"/>
      <c r="Q933" s="19"/>
      <c r="R933" s="19"/>
    </row>
    <row r="934" spans="13:18">
      <c r="M934" s="19"/>
      <c r="N934" s="19"/>
      <c r="O934" s="19"/>
      <c r="P934" s="19"/>
      <c r="Q934" s="19"/>
      <c r="R934" s="19"/>
    </row>
    <row r="935" spans="13:18">
      <c r="M935" s="19"/>
      <c r="N935" s="19"/>
      <c r="O935" s="19"/>
      <c r="P935" s="19"/>
      <c r="Q935" s="19"/>
      <c r="R935" s="19"/>
    </row>
    <row r="936" spans="13:18">
      <c r="M936" s="19"/>
      <c r="N936" s="19"/>
      <c r="O936" s="19"/>
      <c r="P936" s="19"/>
      <c r="Q936" s="19"/>
      <c r="R936" s="19"/>
    </row>
    <row r="937" spans="13:18">
      <c r="M937" s="19"/>
      <c r="N937" s="19"/>
      <c r="O937" s="19"/>
      <c r="P937" s="19"/>
      <c r="Q937" s="19"/>
      <c r="R937" s="19"/>
    </row>
    <row r="938" spans="13:18">
      <c r="M938" s="19"/>
      <c r="N938" s="19"/>
      <c r="O938" s="19"/>
      <c r="P938" s="19"/>
      <c r="Q938" s="19"/>
      <c r="R938" s="19"/>
    </row>
    <row r="939" spans="13:18">
      <c r="M939" s="19"/>
      <c r="N939" s="19"/>
      <c r="O939" s="19"/>
      <c r="P939" s="19"/>
      <c r="Q939" s="19"/>
      <c r="R939" s="19"/>
    </row>
    <row r="940" spans="13:18">
      <c r="M940" s="19"/>
      <c r="N940" s="19"/>
      <c r="O940" s="19"/>
      <c r="P940" s="19"/>
      <c r="Q940" s="19"/>
      <c r="R940" s="19"/>
    </row>
    <row r="941" spans="13:18">
      <c r="M941" s="19"/>
      <c r="N941" s="19"/>
      <c r="O941" s="19"/>
      <c r="P941" s="19"/>
      <c r="Q941" s="19"/>
      <c r="R941" s="19"/>
    </row>
    <row r="942" spans="13:18">
      <c r="M942" s="19"/>
      <c r="N942" s="19"/>
      <c r="O942" s="19"/>
      <c r="P942" s="19"/>
      <c r="Q942" s="19"/>
      <c r="R942" s="19"/>
    </row>
    <row r="943" spans="13:18">
      <c r="M943" s="19"/>
      <c r="N943" s="19"/>
      <c r="O943" s="19"/>
      <c r="P943" s="19"/>
      <c r="Q943" s="19"/>
      <c r="R943" s="19"/>
    </row>
    <row r="944" spans="13:18">
      <c r="M944" s="19"/>
      <c r="N944" s="19"/>
      <c r="O944" s="19"/>
      <c r="P944" s="19"/>
      <c r="Q944" s="19"/>
      <c r="R944" s="19"/>
    </row>
    <row r="945" spans="13:18">
      <c r="M945" s="19"/>
      <c r="N945" s="19"/>
      <c r="O945" s="19"/>
      <c r="P945" s="19"/>
      <c r="Q945" s="19"/>
      <c r="R945" s="19"/>
    </row>
    <row r="946" spans="13:18">
      <c r="M946" s="19"/>
      <c r="N946" s="19"/>
      <c r="O946" s="19"/>
      <c r="P946" s="19"/>
      <c r="Q946" s="19"/>
      <c r="R946" s="19"/>
    </row>
    <row r="947" spans="13:18">
      <c r="M947" s="19"/>
      <c r="N947" s="19"/>
      <c r="O947" s="19"/>
      <c r="P947" s="19"/>
      <c r="Q947" s="19"/>
      <c r="R947" s="19"/>
    </row>
    <row r="948" spans="13:18">
      <c r="M948" s="19"/>
      <c r="N948" s="19"/>
      <c r="O948" s="19"/>
      <c r="P948" s="19"/>
      <c r="Q948" s="19"/>
      <c r="R948" s="19"/>
    </row>
    <row r="949" spans="13:18">
      <c r="M949" s="19"/>
      <c r="N949" s="19"/>
      <c r="O949" s="19"/>
      <c r="P949" s="19"/>
      <c r="Q949" s="19"/>
      <c r="R949" s="19"/>
    </row>
    <row r="950" spans="13:18">
      <c r="M950" s="19"/>
      <c r="N950" s="19"/>
      <c r="O950" s="19"/>
      <c r="P950" s="19"/>
      <c r="Q950" s="19"/>
      <c r="R950" s="19"/>
    </row>
    <row r="951" spans="13:18">
      <c r="M951" s="19"/>
      <c r="N951" s="19"/>
      <c r="O951" s="19"/>
      <c r="P951" s="19"/>
      <c r="Q951" s="19"/>
      <c r="R951" s="19"/>
    </row>
    <row r="952" spans="13:18">
      <c r="M952" s="19"/>
      <c r="N952" s="19"/>
      <c r="O952" s="19"/>
      <c r="P952" s="19"/>
      <c r="Q952" s="19"/>
      <c r="R952" s="19"/>
    </row>
    <row r="953" spans="13:18">
      <c r="M953" s="19"/>
      <c r="N953" s="19"/>
      <c r="O953" s="19"/>
      <c r="P953" s="19"/>
      <c r="Q953" s="19"/>
      <c r="R953" s="19"/>
    </row>
    <row r="954" spans="13:18">
      <c r="M954" s="19"/>
      <c r="N954" s="19"/>
      <c r="O954" s="19"/>
      <c r="P954" s="19"/>
      <c r="Q954" s="19"/>
      <c r="R954" s="19"/>
    </row>
    <row r="955" spans="13:18">
      <c r="M955" s="19"/>
      <c r="N955" s="19"/>
      <c r="O955" s="19"/>
      <c r="P955" s="19"/>
      <c r="Q955" s="19"/>
      <c r="R955" s="19"/>
    </row>
    <row r="956" spans="13:18">
      <c r="M956" s="19"/>
      <c r="N956" s="19"/>
      <c r="O956" s="19"/>
      <c r="P956" s="19"/>
      <c r="Q956" s="19"/>
      <c r="R956" s="19"/>
    </row>
    <row r="957" spans="13:18">
      <c r="M957" s="19"/>
      <c r="N957" s="19"/>
      <c r="O957" s="19"/>
      <c r="P957" s="19"/>
      <c r="Q957" s="19"/>
      <c r="R957" s="19"/>
    </row>
    <row r="958" spans="13:18">
      <c r="M958" s="19"/>
      <c r="N958" s="19"/>
      <c r="O958" s="19"/>
      <c r="P958" s="19"/>
      <c r="Q958" s="19"/>
      <c r="R958" s="19"/>
    </row>
    <row r="959" spans="13:18">
      <c r="M959" s="19"/>
      <c r="N959" s="19"/>
      <c r="O959" s="19"/>
      <c r="P959" s="19"/>
      <c r="Q959" s="19"/>
      <c r="R959" s="19"/>
    </row>
    <row r="960" spans="13:18">
      <c r="M960" s="19"/>
      <c r="N960" s="19"/>
      <c r="O960" s="19"/>
      <c r="P960" s="19"/>
      <c r="Q960" s="19"/>
      <c r="R960" s="19"/>
    </row>
    <row r="961" spans="13:18">
      <c r="M961" s="19"/>
      <c r="N961" s="19"/>
      <c r="O961" s="19"/>
      <c r="P961" s="19"/>
      <c r="Q961" s="19"/>
      <c r="R961" s="19"/>
    </row>
    <row r="962" spans="13:18">
      <c r="M962" s="19"/>
      <c r="N962" s="19"/>
      <c r="O962" s="19"/>
      <c r="P962" s="19"/>
      <c r="Q962" s="19"/>
      <c r="R962" s="19"/>
    </row>
    <row r="963" spans="13:18">
      <c r="M963" s="19"/>
      <c r="N963" s="19"/>
      <c r="O963" s="19"/>
      <c r="P963" s="19"/>
      <c r="Q963" s="19"/>
      <c r="R963" s="19"/>
    </row>
    <row r="964" spans="13:18">
      <c r="M964" s="19"/>
      <c r="N964" s="19"/>
      <c r="O964" s="19"/>
      <c r="P964" s="19"/>
      <c r="Q964" s="19"/>
      <c r="R964" s="19"/>
    </row>
    <row r="965" spans="13:18">
      <c r="M965" s="19"/>
      <c r="N965" s="19"/>
      <c r="O965" s="19"/>
      <c r="P965" s="19"/>
      <c r="Q965" s="19"/>
      <c r="R965" s="19"/>
    </row>
    <row r="966" spans="13:18">
      <c r="M966" s="19"/>
      <c r="N966" s="19"/>
      <c r="O966" s="19"/>
      <c r="P966" s="19"/>
      <c r="Q966" s="19"/>
      <c r="R966" s="19"/>
    </row>
    <row r="967" spans="13:18">
      <c r="M967" s="19"/>
      <c r="N967" s="19"/>
      <c r="O967" s="19"/>
      <c r="P967" s="19"/>
      <c r="Q967" s="19"/>
      <c r="R967" s="19"/>
    </row>
    <row r="968" spans="13:18">
      <c r="M968" s="19"/>
      <c r="N968" s="19"/>
      <c r="O968" s="19"/>
      <c r="P968" s="19"/>
      <c r="Q968" s="19"/>
      <c r="R968" s="19"/>
    </row>
    <row r="969" spans="13:18">
      <c r="M969" s="19"/>
      <c r="N969" s="19"/>
      <c r="O969" s="19"/>
      <c r="P969" s="19"/>
      <c r="Q969" s="19"/>
      <c r="R969" s="19"/>
    </row>
    <row r="970" spans="13:18">
      <c r="M970" s="19"/>
      <c r="N970" s="19"/>
      <c r="O970" s="19"/>
      <c r="P970" s="19"/>
      <c r="Q970" s="19"/>
      <c r="R970" s="19"/>
    </row>
    <row r="971" spans="13:18">
      <c r="M971" s="19"/>
      <c r="N971" s="19"/>
      <c r="O971" s="19"/>
      <c r="P971" s="19"/>
      <c r="Q971" s="19"/>
      <c r="R971" s="19"/>
    </row>
    <row r="972" spans="13:18">
      <c r="M972" s="19"/>
      <c r="N972" s="19"/>
      <c r="O972" s="19"/>
      <c r="P972" s="19"/>
      <c r="Q972" s="19"/>
      <c r="R972" s="19"/>
    </row>
    <row r="973" spans="13:18">
      <c r="M973" s="19"/>
      <c r="N973" s="19"/>
      <c r="O973" s="19"/>
      <c r="P973" s="19"/>
      <c r="Q973" s="19"/>
      <c r="R973" s="19"/>
    </row>
    <row r="974" spans="13:18">
      <c r="M974" s="19"/>
      <c r="N974" s="19"/>
      <c r="O974" s="19"/>
      <c r="P974" s="19"/>
      <c r="Q974" s="19"/>
      <c r="R974" s="19"/>
    </row>
    <row r="975" spans="13:18">
      <c r="M975" s="19"/>
      <c r="N975" s="19"/>
      <c r="O975" s="19"/>
      <c r="P975" s="19"/>
      <c r="Q975" s="19"/>
      <c r="R975" s="19"/>
    </row>
    <row r="976" spans="13:18">
      <c r="M976" s="19"/>
      <c r="N976" s="19"/>
      <c r="O976" s="19"/>
      <c r="P976" s="19"/>
      <c r="Q976" s="19"/>
      <c r="R976" s="19"/>
    </row>
    <row r="977" spans="13:18">
      <c r="M977" s="19"/>
      <c r="N977" s="19"/>
      <c r="O977" s="19"/>
      <c r="P977" s="19"/>
      <c r="Q977" s="19"/>
      <c r="R977" s="19"/>
    </row>
    <row r="978" spans="13:18">
      <c r="M978" s="19"/>
      <c r="N978" s="19"/>
      <c r="O978" s="19"/>
      <c r="P978" s="19"/>
      <c r="Q978" s="19"/>
      <c r="R978" s="19"/>
    </row>
    <row r="979" spans="13:18">
      <c r="M979" s="19"/>
      <c r="N979" s="19"/>
      <c r="O979" s="19"/>
      <c r="P979" s="19"/>
      <c r="Q979" s="19"/>
      <c r="R979" s="19"/>
    </row>
    <row r="980" spans="13:18">
      <c r="M980" s="19"/>
      <c r="N980" s="19"/>
      <c r="O980" s="19"/>
      <c r="P980" s="19"/>
      <c r="Q980" s="19"/>
      <c r="R980" s="19"/>
    </row>
    <row r="981" spans="13:18">
      <c r="M981" s="19"/>
      <c r="N981" s="19"/>
      <c r="O981" s="19"/>
      <c r="P981" s="19"/>
      <c r="Q981" s="19"/>
      <c r="R981" s="19"/>
    </row>
    <row r="982" spans="13:18">
      <c r="M982" s="19"/>
      <c r="N982" s="19"/>
      <c r="O982" s="19"/>
      <c r="P982" s="19"/>
      <c r="Q982" s="19"/>
      <c r="R982" s="19"/>
    </row>
    <row r="983" spans="13:18">
      <c r="M983" s="19"/>
      <c r="N983" s="19"/>
      <c r="O983" s="19"/>
      <c r="P983" s="19"/>
      <c r="Q983" s="19"/>
      <c r="R983" s="19"/>
    </row>
    <row r="984" spans="13:18">
      <c r="M984" s="19"/>
      <c r="N984" s="19"/>
      <c r="O984" s="19"/>
      <c r="P984" s="19"/>
      <c r="Q984" s="19"/>
      <c r="R984" s="19"/>
    </row>
    <row r="985" spans="13:18">
      <c r="M985" s="19"/>
      <c r="N985" s="19"/>
      <c r="O985" s="19"/>
      <c r="P985" s="19"/>
      <c r="Q985" s="19"/>
      <c r="R985" s="19"/>
    </row>
    <row r="986" spans="13:18">
      <c r="M986" s="19"/>
      <c r="N986" s="19"/>
      <c r="O986" s="19"/>
      <c r="P986" s="19"/>
      <c r="Q986" s="19"/>
      <c r="R986" s="19"/>
    </row>
    <row r="987" spans="13:18">
      <c r="M987" s="19"/>
      <c r="N987" s="19"/>
      <c r="O987" s="19"/>
      <c r="P987" s="19"/>
      <c r="Q987" s="19"/>
      <c r="R987" s="19"/>
    </row>
    <row r="988" spans="13:18">
      <c r="M988" s="19"/>
      <c r="N988" s="19"/>
      <c r="O988" s="19"/>
      <c r="P988" s="19"/>
      <c r="Q988" s="19"/>
      <c r="R988" s="19"/>
    </row>
    <row r="989" spans="13:18">
      <c r="M989" s="19"/>
      <c r="N989" s="19"/>
      <c r="O989" s="19"/>
      <c r="P989" s="19"/>
      <c r="Q989" s="19"/>
      <c r="R989" s="19"/>
    </row>
    <row r="990" spans="13:18">
      <c r="M990" s="19"/>
      <c r="N990" s="19"/>
      <c r="O990" s="19"/>
      <c r="P990" s="19"/>
      <c r="Q990" s="19"/>
      <c r="R990" s="19"/>
    </row>
    <row r="991" spans="13:18">
      <c r="M991" s="19"/>
      <c r="N991" s="19"/>
      <c r="O991" s="19"/>
      <c r="P991" s="19"/>
      <c r="Q991" s="19"/>
      <c r="R991" s="19"/>
    </row>
    <row r="992" spans="13:18">
      <c r="M992" s="19"/>
      <c r="N992" s="19"/>
      <c r="O992" s="19"/>
      <c r="P992" s="19"/>
      <c r="Q992" s="19"/>
      <c r="R992" s="19"/>
    </row>
    <row r="993" spans="13:18">
      <c r="M993" s="19"/>
      <c r="N993" s="19"/>
      <c r="O993" s="19"/>
      <c r="P993" s="19"/>
      <c r="Q993" s="19"/>
      <c r="R993" s="19"/>
    </row>
    <row r="994" spans="13:18">
      <c r="M994" s="19"/>
      <c r="N994" s="19"/>
      <c r="O994" s="19"/>
      <c r="P994" s="19"/>
      <c r="Q994" s="19"/>
      <c r="R994" s="19"/>
    </row>
    <row r="995" spans="13:18">
      <c r="M995" s="19"/>
      <c r="N995" s="19"/>
      <c r="O995" s="19"/>
      <c r="P995" s="19"/>
      <c r="Q995" s="19"/>
      <c r="R995" s="19"/>
    </row>
    <row r="996" spans="13:18">
      <c r="M996" s="19"/>
      <c r="N996" s="19"/>
      <c r="O996" s="19"/>
      <c r="P996" s="19"/>
      <c r="Q996" s="19"/>
      <c r="R996" s="19"/>
    </row>
    <row r="997" spans="13:18">
      <c r="M997" s="19"/>
      <c r="N997" s="19"/>
      <c r="O997" s="19"/>
      <c r="P997" s="19"/>
      <c r="Q997" s="19"/>
      <c r="R997" s="19"/>
    </row>
    <row r="998" spans="13:18">
      <c r="M998" s="19"/>
      <c r="N998" s="19"/>
      <c r="O998" s="19"/>
      <c r="P998" s="19"/>
      <c r="Q998" s="19"/>
      <c r="R998" s="19"/>
    </row>
    <row r="999" spans="13:18">
      <c r="M999" s="19"/>
      <c r="N999" s="19"/>
      <c r="O999" s="19"/>
      <c r="P999" s="19"/>
      <c r="Q999" s="19"/>
      <c r="R999" s="19"/>
    </row>
    <row r="1000" spans="13:18">
      <c r="M1000" s="19"/>
      <c r="N1000" s="19"/>
      <c r="O1000" s="19"/>
      <c r="P1000" s="19"/>
      <c r="Q1000" s="19"/>
      <c r="R1000" s="19"/>
    </row>
    <row r="1001" spans="13:18">
      <c r="M1001" s="19"/>
      <c r="N1001" s="19"/>
      <c r="O1001" s="19"/>
      <c r="P1001" s="19"/>
      <c r="Q1001" s="19"/>
      <c r="R1001" s="19"/>
    </row>
    <row r="1002" spans="13:18">
      <c r="M1002" s="19"/>
      <c r="N1002" s="19"/>
      <c r="O1002" s="19"/>
      <c r="P1002" s="19"/>
      <c r="Q1002" s="19"/>
      <c r="R1002" s="19"/>
    </row>
    <row r="1003" spans="13:18">
      <c r="M1003" s="19"/>
      <c r="N1003" s="19"/>
      <c r="O1003" s="19"/>
      <c r="P1003" s="19"/>
      <c r="Q1003" s="19"/>
      <c r="R1003" s="19"/>
    </row>
    <row r="1004" spans="13:18">
      <c r="M1004" s="19"/>
      <c r="N1004" s="19"/>
      <c r="O1004" s="19"/>
      <c r="P1004" s="19"/>
      <c r="Q1004" s="19"/>
      <c r="R1004" s="19"/>
    </row>
    <row r="1005" spans="13:18">
      <c r="M1005" s="19"/>
      <c r="N1005" s="19"/>
      <c r="O1005" s="19"/>
      <c r="P1005" s="19"/>
      <c r="Q1005" s="19"/>
      <c r="R1005" s="19"/>
    </row>
    <row r="1006" spans="13:18">
      <c r="M1006" s="19"/>
      <c r="N1006" s="19"/>
      <c r="O1006" s="19"/>
      <c r="P1006" s="19"/>
      <c r="Q1006" s="19"/>
      <c r="R1006" s="19"/>
    </row>
    <row r="1007" spans="13:18">
      <c r="M1007" s="19"/>
      <c r="N1007" s="19"/>
      <c r="O1007" s="19"/>
      <c r="P1007" s="19"/>
      <c r="Q1007" s="19"/>
      <c r="R1007" s="19"/>
    </row>
    <row r="1008" spans="13:18">
      <c r="M1008" s="19"/>
      <c r="N1008" s="19"/>
      <c r="O1008" s="19"/>
      <c r="P1008" s="19"/>
      <c r="Q1008" s="19"/>
      <c r="R1008" s="19"/>
    </row>
    <row r="1009" spans="13:18">
      <c r="M1009" s="19"/>
      <c r="N1009" s="19"/>
      <c r="O1009" s="19"/>
      <c r="P1009" s="19"/>
      <c r="Q1009" s="19"/>
      <c r="R1009" s="19"/>
    </row>
    <row r="1010" spans="13:18">
      <c r="M1010" s="19"/>
      <c r="N1010" s="19"/>
      <c r="O1010" s="19"/>
      <c r="P1010" s="19"/>
      <c r="Q1010" s="19"/>
      <c r="R1010" s="19"/>
    </row>
    <row r="1011" spans="13:18">
      <c r="M1011" s="19"/>
      <c r="N1011" s="19"/>
      <c r="O1011" s="19"/>
      <c r="P1011" s="19"/>
      <c r="Q1011" s="19"/>
      <c r="R1011" s="19"/>
    </row>
    <row r="1012" spans="13:18">
      <c r="M1012" s="19"/>
      <c r="N1012" s="19"/>
      <c r="O1012" s="19"/>
      <c r="P1012" s="19"/>
      <c r="Q1012" s="19"/>
      <c r="R1012" s="19"/>
    </row>
    <row r="1013" spans="13:18">
      <c r="M1013" s="19"/>
      <c r="N1013" s="19"/>
      <c r="O1013" s="19"/>
      <c r="P1013" s="19"/>
      <c r="Q1013" s="19"/>
      <c r="R1013" s="19"/>
    </row>
    <row r="1014" spans="13:18">
      <c r="M1014" s="19"/>
      <c r="N1014" s="19"/>
      <c r="O1014" s="19"/>
      <c r="P1014" s="19"/>
      <c r="Q1014" s="19"/>
      <c r="R1014" s="19"/>
    </row>
    <row r="1015" spans="13:18">
      <c r="M1015" s="19"/>
      <c r="N1015" s="19"/>
      <c r="O1015" s="19"/>
      <c r="P1015" s="19"/>
      <c r="Q1015" s="19"/>
      <c r="R1015" s="19"/>
    </row>
    <row r="1016" spans="13:18">
      <c r="M1016" s="19"/>
      <c r="N1016" s="19"/>
      <c r="O1016" s="19"/>
      <c r="P1016" s="19"/>
      <c r="Q1016" s="19"/>
      <c r="R1016" s="19"/>
    </row>
    <row r="1017" spans="13:18">
      <c r="M1017" s="19"/>
      <c r="N1017" s="19"/>
      <c r="O1017" s="19"/>
      <c r="P1017" s="19"/>
      <c r="Q1017" s="19"/>
      <c r="R1017" s="19"/>
    </row>
    <row r="1018" spans="13:18">
      <c r="M1018" s="19"/>
      <c r="N1018" s="19"/>
      <c r="O1018" s="19"/>
      <c r="P1018" s="19"/>
      <c r="Q1018" s="19"/>
      <c r="R1018" s="19"/>
    </row>
    <row r="1019" spans="13:18">
      <c r="M1019" s="19"/>
      <c r="N1019" s="19"/>
      <c r="O1019" s="19"/>
      <c r="P1019" s="19"/>
      <c r="Q1019" s="19"/>
      <c r="R1019" s="19"/>
    </row>
    <row r="1020" spans="13:18">
      <c r="M1020" s="19"/>
      <c r="N1020" s="19"/>
      <c r="O1020" s="19"/>
      <c r="P1020" s="19"/>
      <c r="Q1020" s="19"/>
      <c r="R1020" s="19"/>
    </row>
    <row r="1021" spans="13:18">
      <c r="M1021" s="19"/>
      <c r="N1021" s="19"/>
      <c r="O1021" s="19"/>
      <c r="P1021" s="19"/>
      <c r="Q1021" s="19"/>
      <c r="R1021" s="19"/>
    </row>
    <row r="1022" spans="13:18">
      <c r="M1022" s="19"/>
      <c r="N1022" s="19"/>
      <c r="O1022" s="19"/>
      <c r="P1022" s="19"/>
      <c r="Q1022" s="19"/>
      <c r="R1022" s="19"/>
    </row>
    <row r="1023" spans="13:18">
      <c r="M1023" s="19"/>
      <c r="N1023" s="19"/>
      <c r="O1023" s="19"/>
      <c r="P1023" s="19"/>
      <c r="Q1023" s="19"/>
      <c r="R1023" s="19"/>
    </row>
    <row r="1024" spans="13:18">
      <c r="M1024" s="19"/>
      <c r="N1024" s="19"/>
      <c r="O1024" s="19"/>
      <c r="P1024" s="19"/>
      <c r="Q1024" s="19"/>
      <c r="R1024" s="19"/>
    </row>
    <row r="1025" spans="13:18">
      <c r="M1025" s="19"/>
      <c r="N1025" s="19"/>
      <c r="O1025" s="19"/>
      <c r="P1025" s="19"/>
      <c r="Q1025" s="19"/>
      <c r="R1025" s="19"/>
    </row>
    <row r="1026" spans="13:18">
      <c r="M1026" s="19"/>
      <c r="N1026" s="19"/>
      <c r="O1026" s="19"/>
      <c r="P1026" s="19"/>
      <c r="Q1026" s="19"/>
      <c r="R1026" s="19"/>
    </row>
    <row r="1027" spans="13:18">
      <c r="M1027" s="19"/>
      <c r="N1027" s="19"/>
      <c r="O1027" s="19"/>
      <c r="P1027" s="19"/>
      <c r="Q1027" s="19"/>
      <c r="R1027" s="19"/>
    </row>
    <row r="1028" spans="13:18">
      <c r="M1028" s="19"/>
      <c r="N1028" s="19"/>
      <c r="O1028" s="19"/>
      <c r="P1028" s="19"/>
      <c r="Q1028" s="19"/>
      <c r="R1028" s="19"/>
    </row>
    <row r="1029" spans="13:18">
      <c r="M1029" s="19"/>
      <c r="N1029" s="19"/>
      <c r="O1029" s="19"/>
      <c r="P1029" s="19"/>
      <c r="Q1029" s="19"/>
      <c r="R1029" s="19"/>
    </row>
    <row r="1030" spans="13:18">
      <c r="M1030" s="19"/>
      <c r="N1030" s="19"/>
      <c r="O1030" s="19"/>
      <c r="P1030" s="19"/>
      <c r="Q1030" s="19"/>
      <c r="R1030" s="19"/>
    </row>
    <row r="1031" spans="13:18">
      <c r="M1031" s="19"/>
      <c r="N1031" s="19"/>
      <c r="O1031" s="19"/>
      <c r="P1031" s="19"/>
      <c r="Q1031" s="19"/>
      <c r="R1031" s="19"/>
    </row>
    <row r="1032" spans="13:18">
      <c r="M1032" s="19"/>
      <c r="N1032" s="19"/>
      <c r="O1032" s="19"/>
      <c r="P1032" s="19"/>
      <c r="Q1032" s="19"/>
      <c r="R1032" s="19"/>
    </row>
    <row r="1033" spans="13:18">
      <c r="M1033" s="19"/>
      <c r="N1033" s="19"/>
      <c r="O1033" s="19"/>
      <c r="P1033" s="19"/>
      <c r="Q1033" s="19"/>
      <c r="R1033" s="19"/>
    </row>
    <row r="1034" spans="13:18">
      <c r="M1034" s="19"/>
      <c r="N1034" s="19"/>
      <c r="O1034" s="19"/>
      <c r="P1034" s="19"/>
      <c r="Q1034" s="19"/>
      <c r="R1034" s="19"/>
    </row>
    <row r="1035" spans="13:18">
      <c r="M1035" s="19"/>
      <c r="N1035" s="19"/>
      <c r="O1035" s="19"/>
      <c r="P1035" s="19"/>
      <c r="Q1035" s="19"/>
      <c r="R1035" s="19"/>
    </row>
    <row r="1036" spans="13:18">
      <c r="M1036" s="19"/>
      <c r="N1036" s="19"/>
      <c r="O1036" s="19"/>
      <c r="P1036" s="19"/>
      <c r="Q1036" s="19"/>
      <c r="R1036" s="19"/>
    </row>
    <row r="1037" spans="13:18">
      <c r="M1037" s="19"/>
      <c r="N1037" s="19"/>
      <c r="O1037" s="19"/>
      <c r="P1037" s="19"/>
      <c r="Q1037" s="19"/>
      <c r="R1037" s="19"/>
    </row>
    <row r="1038" spans="13:18">
      <c r="M1038" s="19"/>
      <c r="N1038" s="19"/>
      <c r="O1038" s="19"/>
      <c r="P1038" s="19"/>
      <c r="Q1038" s="19"/>
      <c r="R1038" s="19"/>
    </row>
    <row r="1039" spans="13:18">
      <c r="M1039" s="19"/>
      <c r="N1039" s="19"/>
      <c r="O1039" s="19"/>
      <c r="P1039" s="19"/>
      <c r="Q1039" s="19"/>
      <c r="R1039" s="19"/>
    </row>
    <row r="1040" spans="13:18">
      <c r="M1040" s="19"/>
      <c r="N1040" s="19"/>
      <c r="O1040" s="19"/>
      <c r="P1040" s="19"/>
      <c r="Q1040" s="19"/>
      <c r="R1040" s="19"/>
    </row>
    <row r="1041" spans="13:18">
      <c r="M1041" s="19"/>
      <c r="N1041" s="19"/>
      <c r="O1041" s="19"/>
      <c r="P1041" s="19"/>
      <c r="Q1041" s="19"/>
      <c r="R1041" s="19"/>
    </row>
    <row r="1042" spans="13:18">
      <c r="M1042" s="19"/>
      <c r="N1042" s="19"/>
      <c r="O1042" s="19"/>
      <c r="P1042" s="19"/>
      <c r="Q1042" s="19"/>
      <c r="R1042" s="19"/>
    </row>
    <row r="1043" spans="13:18">
      <c r="M1043" s="19"/>
      <c r="N1043" s="19"/>
      <c r="O1043" s="19"/>
      <c r="P1043" s="19"/>
      <c r="Q1043" s="19"/>
      <c r="R1043" s="19"/>
    </row>
    <row r="1044" spans="13:18">
      <c r="M1044" s="19"/>
      <c r="N1044" s="19"/>
      <c r="O1044" s="19"/>
      <c r="P1044" s="19"/>
      <c r="Q1044" s="19"/>
      <c r="R1044" s="19"/>
    </row>
    <row r="1045" spans="13:18">
      <c r="M1045" s="19"/>
      <c r="N1045" s="19"/>
      <c r="O1045" s="19"/>
      <c r="P1045" s="19"/>
      <c r="Q1045" s="19"/>
      <c r="R1045" s="19"/>
    </row>
    <row r="1046" spans="13:18">
      <c r="M1046" s="19"/>
      <c r="N1046" s="19"/>
      <c r="O1046" s="19"/>
      <c r="P1046" s="19"/>
      <c r="Q1046" s="19"/>
      <c r="R1046" s="19"/>
    </row>
    <row r="1047" spans="13:18">
      <c r="M1047" s="19"/>
      <c r="N1047" s="19"/>
      <c r="O1047" s="19"/>
      <c r="P1047" s="19"/>
      <c r="Q1047" s="19"/>
      <c r="R1047" s="19"/>
    </row>
    <row r="1048" spans="13:18">
      <c r="M1048" s="19"/>
      <c r="N1048" s="19"/>
      <c r="O1048" s="19"/>
      <c r="P1048" s="19"/>
      <c r="Q1048" s="19"/>
      <c r="R1048" s="19"/>
    </row>
    <row r="1049" spans="13:18">
      <c r="M1049" s="19"/>
      <c r="N1049" s="19"/>
      <c r="O1049" s="19"/>
      <c r="P1049" s="19"/>
      <c r="Q1049" s="19"/>
      <c r="R1049" s="19"/>
    </row>
    <row r="1050" spans="13:18">
      <c r="M1050" s="19"/>
      <c r="N1050" s="19"/>
      <c r="O1050" s="19"/>
      <c r="P1050" s="19"/>
      <c r="Q1050" s="19"/>
      <c r="R1050" s="19"/>
    </row>
    <row r="1051" spans="13:18">
      <c r="M1051" s="19"/>
      <c r="N1051" s="19"/>
      <c r="O1051" s="19"/>
      <c r="P1051" s="19"/>
      <c r="Q1051" s="19"/>
      <c r="R1051" s="19"/>
    </row>
    <row r="1052" spans="13:18">
      <c r="M1052" s="19"/>
      <c r="N1052" s="19"/>
      <c r="O1052" s="19"/>
      <c r="P1052" s="19"/>
      <c r="Q1052" s="19"/>
      <c r="R1052" s="19"/>
    </row>
    <row r="1053" spans="13:18">
      <c r="M1053" s="19"/>
      <c r="N1053" s="19"/>
      <c r="O1053" s="19"/>
      <c r="P1053" s="19"/>
      <c r="Q1053" s="19"/>
      <c r="R1053" s="19"/>
    </row>
    <row r="1054" spans="13:18">
      <c r="M1054" s="19"/>
      <c r="N1054" s="19"/>
      <c r="O1054" s="19"/>
      <c r="P1054" s="19"/>
      <c r="Q1054" s="19"/>
      <c r="R1054" s="19"/>
    </row>
    <row r="1055" spans="13:18">
      <c r="M1055" s="19"/>
      <c r="N1055" s="19"/>
      <c r="O1055" s="19"/>
      <c r="P1055" s="19"/>
      <c r="Q1055" s="19"/>
      <c r="R1055" s="19"/>
    </row>
    <row r="1056" spans="13:18">
      <c r="M1056" s="19"/>
      <c r="N1056" s="19"/>
      <c r="O1056" s="19"/>
      <c r="P1056" s="19"/>
      <c r="Q1056" s="19"/>
      <c r="R1056" s="19"/>
    </row>
    <row r="1057" spans="13:18">
      <c r="M1057" s="19"/>
      <c r="N1057" s="19"/>
      <c r="O1057" s="19"/>
      <c r="P1057" s="19"/>
      <c r="Q1057" s="19"/>
      <c r="R1057" s="19"/>
    </row>
    <row r="1058" spans="13:18">
      <c r="M1058" s="19"/>
      <c r="N1058" s="19"/>
      <c r="O1058" s="19"/>
      <c r="P1058" s="19"/>
      <c r="Q1058" s="19"/>
      <c r="R1058" s="19"/>
    </row>
    <row r="1059" spans="13:18">
      <c r="M1059" s="19"/>
      <c r="N1059" s="19"/>
      <c r="O1059" s="19"/>
      <c r="P1059" s="19"/>
      <c r="Q1059" s="19"/>
      <c r="R1059" s="19"/>
    </row>
    <row r="1060" spans="13:18">
      <c r="M1060" s="19"/>
      <c r="N1060" s="19"/>
      <c r="O1060" s="19"/>
      <c r="P1060" s="19"/>
      <c r="Q1060" s="19"/>
      <c r="R1060" s="19"/>
    </row>
    <row r="1061" spans="13:18">
      <c r="M1061" s="19"/>
      <c r="N1061" s="19"/>
      <c r="O1061" s="19"/>
      <c r="P1061" s="19"/>
      <c r="Q1061" s="19"/>
      <c r="R1061" s="19"/>
    </row>
    <row r="1062" spans="13:18">
      <c r="M1062" s="19"/>
      <c r="N1062" s="19"/>
      <c r="O1062" s="19"/>
      <c r="P1062" s="19"/>
      <c r="Q1062" s="19"/>
      <c r="R1062" s="19"/>
    </row>
    <row r="1063" spans="13:18">
      <c r="M1063" s="19"/>
      <c r="N1063" s="19"/>
      <c r="O1063" s="19"/>
      <c r="P1063" s="19"/>
      <c r="Q1063" s="19"/>
      <c r="R1063" s="19"/>
    </row>
    <row r="1064" spans="13:18">
      <c r="M1064" s="19"/>
      <c r="N1064" s="19"/>
      <c r="O1064" s="19"/>
      <c r="P1064" s="19"/>
      <c r="Q1064" s="19"/>
      <c r="R1064" s="19"/>
    </row>
    <row r="1065" spans="13:18">
      <c r="M1065" s="19"/>
      <c r="N1065" s="19"/>
      <c r="O1065" s="19"/>
      <c r="P1065" s="19"/>
      <c r="Q1065" s="19"/>
      <c r="R1065" s="19"/>
    </row>
    <row r="1066" spans="13:18">
      <c r="M1066" s="19"/>
      <c r="N1066" s="19"/>
      <c r="O1066" s="19"/>
      <c r="P1066" s="19"/>
      <c r="Q1066" s="19"/>
      <c r="R1066" s="19"/>
    </row>
    <row r="1067" spans="13:18">
      <c r="M1067" s="19"/>
      <c r="N1067" s="19"/>
      <c r="O1067" s="19"/>
      <c r="P1067" s="19"/>
      <c r="Q1067" s="19"/>
      <c r="R1067" s="19"/>
    </row>
    <row r="1068" spans="13:18">
      <c r="M1068" s="19"/>
      <c r="N1068" s="19"/>
      <c r="O1068" s="19"/>
      <c r="P1068" s="19"/>
      <c r="Q1068" s="19"/>
      <c r="R1068" s="19"/>
    </row>
    <row r="1069" spans="13:18">
      <c r="M1069" s="19"/>
      <c r="N1069" s="19"/>
      <c r="O1069" s="19"/>
      <c r="P1069" s="19"/>
      <c r="Q1069" s="19"/>
      <c r="R1069" s="19"/>
    </row>
    <row r="1070" spans="13:18">
      <c r="M1070" s="19"/>
      <c r="N1070" s="19"/>
      <c r="O1070" s="19"/>
      <c r="P1070" s="19"/>
      <c r="Q1070" s="19"/>
      <c r="R1070" s="19"/>
    </row>
    <row r="1071" spans="13:18">
      <c r="M1071" s="19"/>
      <c r="N1071" s="19"/>
      <c r="O1071" s="19"/>
      <c r="P1071" s="19"/>
      <c r="Q1071" s="19"/>
      <c r="R1071" s="19"/>
    </row>
    <row r="1072" spans="13:18">
      <c r="M1072" s="19"/>
      <c r="N1072" s="19"/>
      <c r="O1072" s="19"/>
      <c r="P1072" s="19"/>
      <c r="Q1072" s="19"/>
      <c r="R1072" s="19"/>
    </row>
    <row r="1073" spans="13:18">
      <c r="M1073" s="19"/>
      <c r="N1073" s="19"/>
      <c r="O1073" s="19"/>
      <c r="P1073" s="19"/>
      <c r="Q1073" s="19"/>
      <c r="R1073" s="19"/>
    </row>
    <row r="1074" spans="13:18">
      <c r="M1074" s="19"/>
      <c r="N1074" s="19"/>
      <c r="O1074" s="19"/>
      <c r="P1074" s="19"/>
      <c r="Q1074" s="19"/>
      <c r="R1074" s="19"/>
    </row>
    <row r="1075" spans="13:18">
      <c r="M1075" s="19"/>
      <c r="N1075" s="19"/>
      <c r="O1075" s="19"/>
      <c r="P1075" s="19"/>
      <c r="Q1075" s="19"/>
      <c r="R1075" s="19"/>
    </row>
    <row r="1076" spans="13:18">
      <c r="M1076" s="19"/>
      <c r="N1076" s="19"/>
      <c r="O1076" s="19"/>
      <c r="P1076" s="19"/>
      <c r="Q1076" s="19"/>
      <c r="R1076" s="19"/>
    </row>
    <row r="1077" spans="13:18">
      <c r="M1077" s="19"/>
      <c r="N1077" s="19"/>
      <c r="O1077" s="19"/>
      <c r="P1077" s="19"/>
      <c r="Q1077" s="19"/>
      <c r="R1077" s="19"/>
    </row>
    <row r="1078" spans="13:18">
      <c r="M1078" s="19"/>
      <c r="N1078" s="19"/>
      <c r="O1078" s="19"/>
      <c r="P1078" s="19"/>
      <c r="Q1078" s="19"/>
      <c r="R1078" s="19"/>
    </row>
    <row r="1079" spans="13:18">
      <c r="M1079" s="19"/>
      <c r="N1079" s="19"/>
      <c r="O1079" s="19"/>
      <c r="P1079" s="19"/>
      <c r="Q1079" s="19"/>
      <c r="R1079" s="19"/>
    </row>
    <row r="1080" spans="13:18">
      <c r="M1080" s="19"/>
      <c r="N1080" s="19"/>
      <c r="O1080" s="19"/>
      <c r="P1080" s="19"/>
      <c r="Q1080" s="19"/>
      <c r="R1080" s="19"/>
    </row>
    <row r="1081" spans="13:18">
      <c r="M1081" s="19"/>
      <c r="N1081" s="19"/>
      <c r="O1081" s="19"/>
      <c r="P1081" s="19"/>
      <c r="Q1081" s="19"/>
      <c r="R1081" s="19"/>
    </row>
    <row r="1082" spans="13:18">
      <c r="M1082" s="19"/>
      <c r="N1082" s="19"/>
      <c r="O1082" s="19"/>
      <c r="P1082" s="19"/>
      <c r="Q1082" s="19"/>
      <c r="R1082" s="19"/>
    </row>
    <row r="1083" spans="13:18">
      <c r="M1083" s="19"/>
      <c r="N1083" s="19"/>
      <c r="O1083" s="19"/>
      <c r="P1083" s="19"/>
      <c r="Q1083" s="19"/>
      <c r="R1083" s="19"/>
    </row>
    <row r="1084" spans="13:18">
      <c r="M1084" s="19"/>
      <c r="N1084" s="19"/>
      <c r="O1084" s="19"/>
      <c r="P1084" s="19"/>
      <c r="Q1084" s="19"/>
      <c r="R1084" s="19"/>
    </row>
    <row r="1085" spans="13:18">
      <c r="M1085" s="19"/>
      <c r="N1085" s="19"/>
      <c r="O1085" s="19"/>
      <c r="P1085" s="19"/>
      <c r="Q1085" s="19"/>
      <c r="R1085" s="19"/>
    </row>
    <row r="1086" spans="13:18">
      <c r="M1086" s="19"/>
      <c r="N1086" s="19"/>
      <c r="O1086" s="19"/>
      <c r="P1086" s="19"/>
      <c r="Q1086" s="19"/>
      <c r="R1086" s="19"/>
    </row>
    <row r="1087" spans="13:18">
      <c r="M1087" s="19"/>
      <c r="N1087" s="19"/>
      <c r="O1087" s="19"/>
      <c r="P1087" s="19"/>
      <c r="Q1087" s="19"/>
      <c r="R1087" s="19"/>
    </row>
    <row r="1088" spans="13:18">
      <c r="M1088" s="19"/>
      <c r="N1088" s="19"/>
      <c r="O1088" s="19"/>
      <c r="P1088" s="19"/>
      <c r="Q1088" s="19"/>
      <c r="R1088" s="19"/>
    </row>
    <row r="1089" spans="13:18">
      <c r="M1089" s="19"/>
      <c r="N1089" s="19"/>
      <c r="O1089" s="19"/>
      <c r="P1089" s="19"/>
      <c r="Q1089" s="19"/>
      <c r="R1089" s="19"/>
    </row>
    <row r="1090" spans="13:18">
      <c r="M1090" s="19"/>
      <c r="N1090" s="19"/>
      <c r="O1090" s="19"/>
      <c r="P1090" s="19"/>
      <c r="Q1090" s="19"/>
      <c r="R1090" s="19"/>
    </row>
    <row r="1091" spans="13:18">
      <c r="M1091" s="19"/>
      <c r="N1091" s="19"/>
      <c r="O1091" s="19"/>
      <c r="P1091" s="19"/>
      <c r="Q1091" s="19"/>
      <c r="R1091" s="19"/>
    </row>
    <row r="1092" spans="13:18">
      <c r="M1092" s="19"/>
      <c r="N1092" s="19"/>
      <c r="O1092" s="19"/>
      <c r="P1092" s="19"/>
      <c r="Q1092" s="19"/>
      <c r="R1092" s="19"/>
    </row>
    <row r="1093" spans="13:18">
      <c r="M1093" s="19"/>
      <c r="N1093" s="19"/>
      <c r="O1093" s="19"/>
      <c r="P1093" s="19"/>
      <c r="Q1093" s="19"/>
      <c r="R1093" s="19"/>
    </row>
    <row r="1094" spans="13:18">
      <c r="M1094" s="19"/>
      <c r="N1094" s="19"/>
      <c r="O1094" s="19"/>
      <c r="P1094" s="19"/>
      <c r="Q1094" s="19"/>
      <c r="R1094" s="19"/>
    </row>
    <row r="1095" spans="13:18">
      <c r="M1095" s="19"/>
      <c r="N1095" s="19"/>
      <c r="O1095" s="19"/>
      <c r="P1095" s="19"/>
      <c r="Q1095" s="19"/>
      <c r="R1095" s="19"/>
    </row>
    <row r="1096" spans="13:18">
      <c r="M1096" s="19"/>
      <c r="N1096" s="19"/>
      <c r="O1096" s="19"/>
      <c r="P1096" s="19"/>
      <c r="Q1096" s="19"/>
      <c r="R1096" s="19"/>
    </row>
    <row r="1097" spans="13:18">
      <c r="M1097" s="19"/>
      <c r="N1097" s="19"/>
      <c r="O1097" s="19"/>
      <c r="P1097" s="19"/>
      <c r="Q1097" s="19"/>
      <c r="R1097" s="19"/>
    </row>
    <row r="1098" spans="13:18">
      <c r="M1098" s="19"/>
      <c r="N1098" s="19"/>
      <c r="O1098" s="19"/>
      <c r="P1098" s="19"/>
      <c r="Q1098" s="19"/>
      <c r="R1098" s="19"/>
    </row>
    <row r="1099" spans="13:18">
      <c r="M1099" s="19"/>
      <c r="N1099" s="19"/>
      <c r="O1099" s="19"/>
      <c r="P1099" s="19"/>
      <c r="Q1099" s="19"/>
      <c r="R1099" s="19"/>
    </row>
    <row r="1100" spans="13:18">
      <c r="M1100" s="19"/>
      <c r="N1100" s="19"/>
      <c r="O1100" s="19"/>
      <c r="P1100" s="19"/>
      <c r="Q1100" s="19"/>
      <c r="R1100" s="19"/>
    </row>
    <row r="1101" spans="13:18">
      <c r="M1101" s="19"/>
      <c r="N1101" s="19"/>
      <c r="O1101" s="19"/>
      <c r="P1101" s="19"/>
      <c r="Q1101" s="19"/>
      <c r="R1101" s="19"/>
    </row>
    <row r="1102" spans="13:18">
      <c r="M1102" s="19"/>
      <c r="N1102" s="19"/>
      <c r="O1102" s="19"/>
      <c r="P1102" s="19"/>
      <c r="Q1102" s="19"/>
      <c r="R1102" s="19"/>
    </row>
    <row r="1103" spans="13:18">
      <c r="M1103" s="19"/>
      <c r="N1103" s="19"/>
      <c r="O1103" s="19"/>
      <c r="P1103" s="19"/>
      <c r="Q1103" s="19"/>
      <c r="R1103" s="19"/>
    </row>
    <row r="1104" spans="13:18">
      <c r="M1104" s="19"/>
      <c r="N1104" s="19"/>
      <c r="O1104" s="19"/>
      <c r="P1104" s="19"/>
      <c r="Q1104" s="19"/>
      <c r="R1104" s="19"/>
    </row>
    <row r="1105" spans="13:18">
      <c r="M1105" s="19"/>
      <c r="N1105" s="19"/>
      <c r="O1105" s="19"/>
      <c r="P1105" s="19"/>
      <c r="Q1105" s="19"/>
      <c r="R1105" s="19"/>
    </row>
    <row r="1106" spans="13:18">
      <c r="M1106" s="19"/>
      <c r="N1106" s="19"/>
      <c r="O1106" s="19"/>
      <c r="P1106" s="19"/>
      <c r="Q1106" s="19"/>
      <c r="R1106" s="19"/>
    </row>
    <row r="1107" spans="13:18">
      <c r="M1107" s="19"/>
      <c r="N1107" s="19"/>
      <c r="O1107" s="19"/>
      <c r="P1107" s="19"/>
      <c r="Q1107" s="19"/>
      <c r="R1107" s="19"/>
    </row>
    <row r="1108" spans="13:18">
      <c r="M1108" s="19"/>
      <c r="N1108" s="19"/>
      <c r="O1108" s="19"/>
      <c r="P1108" s="19"/>
      <c r="Q1108" s="19"/>
      <c r="R1108" s="19"/>
    </row>
    <row r="1109" spans="13:18">
      <c r="M1109" s="19"/>
      <c r="N1109" s="19"/>
      <c r="O1109" s="19"/>
      <c r="P1109" s="19"/>
      <c r="Q1109" s="19"/>
      <c r="R1109" s="19"/>
    </row>
    <row r="1110" spans="13:18">
      <c r="M1110" s="19"/>
      <c r="N1110" s="19"/>
      <c r="O1110" s="19"/>
      <c r="P1110" s="19"/>
      <c r="Q1110" s="19"/>
      <c r="R1110" s="19"/>
    </row>
    <row r="1111" spans="13:18">
      <c r="M1111" s="19"/>
      <c r="N1111" s="19"/>
      <c r="O1111" s="19"/>
      <c r="P1111" s="19"/>
      <c r="Q1111" s="19"/>
      <c r="R1111" s="19"/>
    </row>
    <row r="1112" spans="13:18">
      <c r="M1112" s="19"/>
      <c r="N1112" s="19"/>
      <c r="O1112" s="19"/>
      <c r="P1112" s="19"/>
      <c r="Q1112" s="19"/>
      <c r="R1112" s="19"/>
    </row>
    <row r="1113" spans="13:18">
      <c r="M1113" s="19"/>
      <c r="N1113" s="19"/>
      <c r="O1113" s="19"/>
      <c r="P1113" s="19"/>
      <c r="Q1113" s="19"/>
      <c r="R1113" s="19"/>
    </row>
    <row r="1114" spans="13:18">
      <c r="M1114" s="19"/>
      <c r="N1114" s="19"/>
      <c r="O1114" s="19"/>
      <c r="P1114" s="19"/>
      <c r="Q1114" s="19"/>
      <c r="R1114" s="19"/>
    </row>
    <row r="1115" spans="13:18">
      <c r="M1115" s="19"/>
      <c r="N1115" s="19"/>
      <c r="O1115" s="19"/>
      <c r="P1115" s="19"/>
      <c r="Q1115" s="19"/>
      <c r="R1115" s="19"/>
    </row>
    <row r="1116" spans="13:18">
      <c r="M1116" s="19"/>
      <c r="N1116" s="19"/>
      <c r="O1116" s="19"/>
      <c r="P1116" s="19"/>
      <c r="Q1116" s="19"/>
      <c r="R1116" s="19"/>
    </row>
    <row r="1117" spans="13:18">
      <c r="M1117" s="19"/>
      <c r="N1117" s="19"/>
      <c r="O1117" s="19"/>
      <c r="P1117" s="19"/>
      <c r="Q1117" s="19"/>
      <c r="R1117" s="19"/>
    </row>
    <row r="1118" spans="13:18">
      <c r="M1118" s="19"/>
      <c r="N1118" s="19"/>
      <c r="O1118" s="19"/>
      <c r="P1118" s="19"/>
      <c r="Q1118" s="19"/>
      <c r="R1118" s="19"/>
    </row>
    <row r="1119" spans="13:18">
      <c r="M1119" s="19"/>
      <c r="N1119" s="19"/>
      <c r="O1119" s="19"/>
      <c r="P1119" s="19"/>
      <c r="Q1119" s="19"/>
      <c r="R1119" s="19"/>
    </row>
    <row r="1120" spans="13:18">
      <c r="M1120" s="19"/>
      <c r="N1120" s="19"/>
      <c r="O1120" s="19"/>
      <c r="P1120" s="19"/>
      <c r="Q1120" s="19"/>
      <c r="R1120" s="19"/>
    </row>
    <row r="1121" spans="13:18">
      <c r="M1121" s="19"/>
      <c r="N1121" s="19"/>
      <c r="O1121" s="19"/>
      <c r="P1121" s="19"/>
      <c r="Q1121" s="19"/>
      <c r="R1121" s="19"/>
    </row>
    <row r="1122" spans="13:18">
      <c r="M1122" s="19"/>
      <c r="N1122" s="19"/>
      <c r="O1122" s="19"/>
      <c r="P1122" s="19"/>
      <c r="Q1122" s="19"/>
      <c r="R1122" s="19"/>
    </row>
    <row r="1123" spans="13:18">
      <c r="M1123" s="19"/>
      <c r="N1123" s="19"/>
      <c r="O1123" s="19"/>
      <c r="P1123" s="19"/>
      <c r="Q1123" s="19"/>
      <c r="R1123" s="19"/>
    </row>
    <row r="1124" spans="13:18">
      <c r="M1124" s="19"/>
      <c r="N1124" s="19"/>
      <c r="O1124" s="19"/>
      <c r="P1124" s="19"/>
      <c r="Q1124" s="19"/>
      <c r="R1124" s="19"/>
    </row>
    <row r="1125" spans="13:18">
      <c r="M1125" s="19"/>
      <c r="N1125" s="19"/>
      <c r="O1125" s="19"/>
      <c r="P1125" s="19"/>
      <c r="Q1125" s="19"/>
      <c r="R1125" s="19"/>
    </row>
    <row r="1126" spans="13:18">
      <c r="M1126" s="19"/>
      <c r="N1126" s="19"/>
      <c r="O1126" s="19"/>
      <c r="P1126" s="19"/>
      <c r="Q1126" s="19"/>
      <c r="R1126" s="19"/>
    </row>
    <row r="1127" spans="13:18">
      <c r="M1127" s="19"/>
      <c r="N1127" s="19"/>
      <c r="O1127" s="19"/>
      <c r="P1127" s="19"/>
      <c r="Q1127" s="19"/>
      <c r="R1127" s="19"/>
    </row>
    <row r="1128" spans="13:18">
      <c r="M1128" s="19"/>
      <c r="N1128" s="19"/>
      <c r="O1128" s="19"/>
      <c r="P1128" s="19"/>
      <c r="Q1128" s="19"/>
      <c r="R1128" s="19"/>
    </row>
    <row r="1129" spans="13:18">
      <c r="M1129" s="19"/>
      <c r="N1129" s="19"/>
      <c r="O1129" s="19"/>
      <c r="P1129" s="19"/>
      <c r="Q1129" s="19"/>
      <c r="R1129" s="19"/>
    </row>
    <row r="1130" spans="13:18">
      <c r="M1130" s="19"/>
      <c r="N1130" s="19"/>
      <c r="O1130" s="19"/>
      <c r="P1130" s="19"/>
      <c r="Q1130" s="19"/>
      <c r="R1130" s="19"/>
    </row>
    <row r="1131" spans="13:18">
      <c r="M1131" s="19"/>
      <c r="N1131" s="19"/>
      <c r="O1131" s="19"/>
      <c r="P1131" s="19"/>
      <c r="Q1131" s="19"/>
      <c r="R1131" s="19"/>
    </row>
    <row r="1132" spans="13:18">
      <c r="M1132" s="19"/>
      <c r="N1132" s="19"/>
      <c r="O1132" s="19"/>
      <c r="P1132" s="19"/>
      <c r="Q1132" s="19"/>
      <c r="R1132" s="19"/>
    </row>
    <row r="1133" spans="13:18">
      <c r="M1133" s="19"/>
      <c r="N1133" s="19"/>
      <c r="O1133" s="19"/>
      <c r="P1133" s="19"/>
      <c r="Q1133" s="19"/>
      <c r="R1133" s="19"/>
    </row>
    <row r="1134" spans="13:18">
      <c r="M1134" s="19"/>
      <c r="N1134" s="19"/>
      <c r="O1134" s="19"/>
      <c r="P1134" s="19"/>
      <c r="Q1134" s="19"/>
      <c r="R1134" s="19"/>
    </row>
    <row r="1135" spans="13:18">
      <c r="M1135" s="19"/>
      <c r="N1135" s="19"/>
      <c r="O1135" s="19"/>
      <c r="P1135" s="19"/>
      <c r="Q1135" s="19"/>
      <c r="R1135" s="19"/>
    </row>
    <row r="1136" spans="13:18">
      <c r="M1136" s="19"/>
      <c r="N1136" s="19"/>
      <c r="O1136" s="19"/>
      <c r="P1136" s="19"/>
      <c r="Q1136" s="19"/>
      <c r="R1136" s="19"/>
    </row>
    <row r="1137" spans="13:18">
      <c r="M1137" s="19"/>
      <c r="N1137" s="19"/>
      <c r="O1137" s="19"/>
      <c r="P1137" s="19"/>
      <c r="Q1137" s="19"/>
      <c r="R1137" s="19"/>
    </row>
    <row r="1138" spans="13:18">
      <c r="M1138" s="19"/>
      <c r="N1138" s="19"/>
      <c r="O1138" s="19"/>
      <c r="P1138" s="19"/>
      <c r="Q1138" s="19"/>
      <c r="R1138" s="19"/>
    </row>
    <row r="1139" spans="13:18">
      <c r="M1139" s="19"/>
      <c r="N1139" s="19"/>
      <c r="O1139" s="19"/>
      <c r="P1139" s="19"/>
      <c r="Q1139" s="19"/>
      <c r="R1139" s="19"/>
    </row>
    <row r="1140" spans="13:18">
      <c r="M1140" s="19"/>
      <c r="N1140" s="19"/>
      <c r="O1140" s="19"/>
      <c r="P1140" s="19"/>
      <c r="Q1140" s="19"/>
      <c r="R1140" s="19"/>
    </row>
    <row r="1141" spans="13:18">
      <c r="M1141" s="19"/>
      <c r="N1141" s="19"/>
      <c r="O1141" s="19"/>
      <c r="P1141" s="19"/>
      <c r="Q1141" s="19"/>
      <c r="R1141" s="19"/>
    </row>
    <row r="1142" spans="13:18">
      <c r="M1142" s="19"/>
      <c r="N1142" s="19"/>
      <c r="O1142" s="19"/>
      <c r="P1142" s="19"/>
      <c r="Q1142" s="19"/>
      <c r="R1142" s="19"/>
    </row>
    <row r="1143" spans="13:18">
      <c r="M1143" s="19"/>
      <c r="N1143" s="19"/>
      <c r="O1143" s="19"/>
      <c r="P1143" s="19"/>
      <c r="Q1143" s="19"/>
      <c r="R1143" s="19"/>
    </row>
    <row r="1144" spans="13:18">
      <c r="M1144" s="19"/>
      <c r="N1144" s="19"/>
      <c r="O1144" s="19"/>
      <c r="P1144" s="19"/>
      <c r="Q1144" s="19"/>
      <c r="R1144" s="19"/>
    </row>
    <row r="1145" spans="13:18">
      <c r="M1145" s="19"/>
      <c r="N1145" s="19"/>
      <c r="O1145" s="19"/>
      <c r="P1145" s="19"/>
      <c r="Q1145" s="19"/>
      <c r="R1145" s="19"/>
    </row>
    <row r="1146" spans="13:18">
      <c r="M1146" s="19"/>
      <c r="N1146" s="19"/>
      <c r="O1146" s="19"/>
      <c r="P1146" s="19"/>
      <c r="Q1146" s="19"/>
      <c r="R1146" s="19"/>
    </row>
    <row r="1147" spans="13:18">
      <c r="M1147" s="19"/>
      <c r="N1147" s="19"/>
      <c r="O1147" s="19"/>
      <c r="P1147" s="19"/>
      <c r="Q1147" s="19"/>
      <c r="R1147" s="19"/>
    </row>
    <row r="1148" spans="13:18">
      <c r="M1148" s="19"/>
      <c r="N1148" s="19"/>
      <c r="O1148" s="19"/>
      <c r="P1148" s="19"/>
      <c r="Q1148" s="19"/>
      <c r="R1148" s="19"/>
    </row>
    <row r="1149" spans="13:18">
      <c r="M1149" s="19"/>
      <c r="N1149" s="19"/>
      <c r="O1149" s="19"/>
      <c r="P1149" s="19"/>
      <c r="Q1149" s="19"/>
      <c r="R1149" s="19"/>
    </row>
    <row r="1150" spans="13:18">
      <c r="M1150" s="19"/>
      <c r="N1150" s="19"/>
      <c r="O1150" s="19"/>
      <c r="P1150" s="19"/>
      <c r="Q1150" s="19"/>
      <c r="R1150" s="19"/>
    </row>
    <row r="1151" spans="13:18">
      <c r="M1151" s="19"/>
      <c r="N1151" s="19"/>
      <c r="O1151" s="19"/>
      <c r="P1151" s="19"/>
      <c r="Q1151" s="19"/>
      <c r="R1151" s="19"/>
    </row>
    <row r="1152" spans="13:18">
      <c r="M1152" s="19"/>
      <c r="N1152" s="19"/>
      <c r="O1152" s="19"/>
      <c r="P1152" s="19"/>
      <c r="Q1152" s="19"/>
      <c r="R1152" s="19"/>
    </row>
    <row r="1153" spans="13:18">
      <c r="M1153" s="19"/>
      <c r="N1153" s="19"/>
      <c r="O1153" s="19"/>
      <c r="P1153" s="19"/>
      <c r="Q1153" s="19"/>
      <c r="R1153" s="19"/>
    </row>
    <row r="1154" spans="13:18">
      <c r="M1154" s="19"/>
      <c r="N1154" s="19"/>
      <c r="O1154" s="19"/>
      <c r="P1154" s="19"/>
      <c r="Q1154" s="19"/>
      <c r="R1154" s="19"/>
    </row>
    <row r="1155" spans="13:18">
      <c r="M1155" s="19"/>
      <c r="N1155" s="19"/>
      <c r="O1155" s="19"/>
      <c r="P1155" s="19"/>
      <c r="Q1155" s="19"/>
      <c r="R1155" s="19"/>
    </row>
    <row r="1156" spans="13:18">
      <c r="M1156" s="19"/>
      <c r="N1156" s="19"/>
      <c r="O1156" s="19"/>
      <c r="P1156" s="19"/>
      <c r="Q1156" s="19"/>
      <c r="R1156" s="19"/>
    </row>
    <row r="1157" spans="13:18">
      <c r="M1157" s="19"/>
      <c r="N1157" s="19"/>
      <c r="O1157" s="19"/>
      <c r="P1157" s="19"/>
      <c r="Q1157" s="19"/>
      <c r="R1157" s="19"/>
    </row>
    <row r="1158" spans="13:18">
      <c r="M1158" s="19"/>
      <c r="N1158" s="19"/>
      <c r="O1158" s="19"/>
      <c r="P1158" s="19"/>
      <c r="Q1158" s="19"/>
      <c r="R1158" s="19"/>
    </row>
    <row r="1159" spans="13:18">
      <c r="M1159" s="19"/>
      <c r="N1159" s="19"/>
      <c r="O1159" s="19"/>
      <c r="P1159" s="19"/>
      <c r="Q1159" s="19"/>
      <c r="R1159" s="19"/>
    </row>
    <row r="1160" spans="13:18">
      <c r="M1160" s="19"/>
      <c r="N1160" s="19"/>
      <c r="O1160" s="19"/>
      <c r="P1160" s="19"/>
      <c r="Q1160" s="19"/>
      <c r="R1160" s="19"/>
    </row>
    <row r="1161" spans="13:18">
      <c r="M1161" s="19"/>
      <c r="N1161" s="19"/>
      <c r="O1161" s="19"/>
      <c r="P1161" s="19"/>
      <c r="Q1161" s="19"/>
      <c r="R1161" s="19"/>
    </row>
    <row r="1162" spans="13:18">
      <c r="M1162" s="19"/>
      <c r="N1162" s="19"/>
      <c r="O1162" s="19"/>
      <c r="P1162" s="19"/>
      <c r="Q1162" s="19"/>
      <c r="R1162" s="19"/>
    </row>
    <row r="1163" spans="13:18">
      <c r="M1163" s="19"/>
      <c r="N1163" s="19"/>
      <c r="O1163" s="19"/>
      <c r="P1163" s="19"/>
      <c r="Q1163" s="19"/>
      <c r="R1163" s="19"/>
    </row>
    <row r="1164" spans="13:18">
      <c r="M1164" s="19"/>
      <c r="N1164" s="19"/>
      <c r="O1164" s="19"/>
      <c r="P1164" s="19"/>
      <c r="Q1164" s="19"/>
      <c r="R1164" s="19"/>
    </row>
    <row r="1165" spans="13:18">
      <c r="M1165" s="19"/>
      <c r="N1165" s="19"/>
      <c r="O1165" s="19"/>
      <c r="P1165" s="19"/>
      <c r="Q1165" s="19"/>
      <c r="R1165" s="19"/>
    </row>
    <row r="1166" spans="13:18">
      <c r="M1166" s="19"/>
      <c r="N1166" s="19"/>
      <c r="O1166" s="19"/>
      <c r="P1166" s="19"/>
      <c r="Q1166" s="19"/>
      <c r="R1166" s="19"/>
    </row>
    <row r="1167" spans="13:18">
      <c r="M1167" s="19"/>
      <c r="N1167" s="19"/>
      <c r="O1167" s="19"/>
      <c r="P1167" s="19"/>
      <c r="Q1167" s="19"/>
      <c r="R1167" s="19"/>
    </row>
    <row r="1168" spans="13:18">
      <c r="M1168" s="19"/>
      <c r="N1168" s="19"/>
      <c r="O1168" s="19"/>
      <c r="P1168" s="19"/>
      <c r="Q1168" s="19"/>
      <c r="R1168" s="19"/>
    </row>
    <row r="1169" spans="13:18">
      <c r="M1169" s="19"/>
      <c r="N1169" s="19"/>
      <c r="O1169" s="19"/>
      <c r="P1169" s="19"/>
      <c r="Q1169" s="19"/>
      <c r="R1169" s="19"/>
    </row>
    <row r="1170" spans="13:18">
      <c r="M1170" s="19"/>
      <c r="N1170" s="19"/>
      <c r="O1170" s="19"/>
      <c r="P1170" s="19"/>
      <c r="Q1170" s="19"/>
      <c r="R1170" s="19"/>
    </row>
    <row r="1171" spans="13:18">
      <c r="M1171" s="19"/>
      <c r="N1171" s="19"/>
      <c r="O1171" s="19"/>
      <c r="P1171" s="19"/>
      <c r="Q1171" s="19"/>
      <c r="R1171" s="19"/>
    </row>
    <row r="1172" spans="13:18">
      <c r="M1172" s="19"/>
      <c r="N1172" s="19"/>
      <c r="O1172" s="19"/>
      <c r="P1172" s="19"/>
      <c r="Q1172" s="19"/>
      <c r="R1172" s="19"/>
    </row>
    <row r="1173" spans="13:18">
      <c r="M1173" s="19"/>
      <c r="N1173" s="19"/>
      <c r="O1173" s="19"/>
      <c r="P1173" s="19"/>
      <c r="Q1173" s="19"/>
      <c r="R1173" s="19"/>
    </row>
    <row r="1174" spans="13:18">
      <c r="M1174" s="19"/>
      <c r="N1174" s="19"/>
      <c r="O1174" s="19"/>
      <c r="P1174" s="19"/>
      <c r="Q1174" s="19"/>
      <c r="R1174" s="19"/>
    </row>
    <row r="1175" spans="13:18">
      <c r="M1175" s="19"/>
      <c r="N1175" s="19"/>
      <c r="O1175" s="19"/>
      <c r="P1175" s="19"/>
      <c r="Q1175" s="19"/>
      <c r="R1175" s="19"/>
    </row>
    <row r="1176" spans="13:18">
      <c r="M1176" s="19"/>
      <c r="N1176" s="19"/>
      <c r="O1176" s="19"/>
      <c r="P1176" s="19"/>
      <c r="Q1176" s="19"/>
      <c r="R1176" s="19"/>
    </row>
    <row r="1177" spans="13:18">
      <c r="M1177" s="19"/>
      <c r="N1177" s="19"/>
      <c r="O1177" s="19"/>
      <c r="P1177" s="19"/>
      <c r="Q1177" s="19"/>
      <c r="R1177" s="19"/>
    </row>
    <row r="1178" spans="13:18">
      <c r="M1178" s="19"/>
      <c r="N1178" s="19"/>
      <c r="O1178" s="19"/>
      <c r="P1178" s="19"/>
      <c r="Q1178" s="19"/>
      <c r="R1178" s="19"/>
    </row>
    <row r="1179" spans="13:18">
      <c r="M1179" s="19"/>
      <c r="N1179" s="19"/>
      <c r="O1179" s="19"/>
      <c r="P1179" s="19"/>
      <c r="Q1179" s="19"/>
      <c r="R1179" s="19"/>
    </row>
    <row r="1180" spans="13:18">
      <c r="M1180" s="19"/>
      <c r="N1180" s="19"/>
      <c r="O1180" s="19"/>
      <c r="P1180" s="19"/>
      <c r="Q1180" s="19"/>
      <c r="R1180" s="19"/>
    </row>
    <row r="1181" spans="13:18">
      <c r="M1181" s="19"/>
      <c r="N1181" s="19"/>
      <c r="O1181" s="19"/>
      <c r="P1181" s="19"/>
      <c r="Q1181" s="19"/>
      <c r="R1181" s="19"/>
    </row>
    <row r="1182" spans="13:18">
      <c r="M1182" s="19"/>
      <c r="N1182" s="19"/>
      <c r="O1182" s="19"/>
      <c r="P1182" s="19"/>
      <c r="Q1182" s="19"/>
      <c r="R1182" s="19"/>
    </row>
    <row r="1183" spans="13:18">
      <c r="M1183" s="19"/>
      <c r="N1183" s="19"/>
      <c r="O1183" s="19"/>
      <c r="P1183" s="19"/>
      <c r="Q1183" s="19"/>
      <c r="R1183" s="19"/>
    </row>
    <row r="1184" spans="13:18">
      <c r="M1184" s="19"/>
      <c r="N1184" s="19"/>
      <c r="O1184" s="19"/>
      <c r="P1184" s="19"/>
      <c r="Q1184" s="19"/>
      <c r="R1184" s="19"/>
    </row>
    <row r="1185" spans="13:18">
      <c r="M1185" s="19"/>
      <c r="N1185" s="19"/>
      <c r="O1185" s="19"/>
      <c r="P1185" s="19"/>
      <c r="Q1185" s="19"/>
      <c r="R1185" s="19"/>
    </row>
    <row r="1186" spans="13:18">
      <c r="M1186" s="19"/>
      <c r="N1186" s="19"/>
      <c r="O1186" s="19"/>
      <c r="P1186" s="19"/>
      <c r="Q1186" s="19"/>
      <c r="R1186" s="19"/>
    </row>
    <row r="1187" spans="13:18">
      <c r="M1187" s="19"/>
      <c r="N1187" s="19"/>
      <c r="O1187" s="19"/>
      <c r="P1187" s="19"/>
      <c r="Q1187" s="19"/>
      <c r="R1187" s="19"/>
    </row>
    <row r="1188" spans="13:18">
      <c r="M1188" s="19"/>
      <c r="N1188" s="19"/>
      <c r="O1188" s="19"/>
      <c r="P1188" s="19"/>
      <c r="Q1188" s="19"/>
      <c r="R1188" s="19"/>
    </row>
    <row r="1189" spans="13:18">
      <c r="M1189" s="19"/>
      <c r="N1189" s="19"/>
      <c r="O1189" s="19"/>
      <c r="P1189" s="19"/>
      <c r="Q1189" s="19"/>
      <c r="R1189" s="19"/>
    </row>
    <row r="1190" spans="13:18">
      <c r="M1190" s="19"/>
      <c r="N1190" s="19"/>
      <c r="O1190" s="19"/>
      <c r="P1190" s="19"/>
      <c r="Q1190" s="19"/>
      <c r="R1190" s="19"/>
    </row>
    <row r="1191" spans="13:18">
      <c r="M1191" s="19"/>
      <c r="N1191" s="19"/>
      <c r="O1191" s="19"/>
      <c r="P1191" s="19"/>
      <c r="Q1191" s="19"/>
      <c r="R1191" s="19"/>
    </row>
    <row r="1192" spans="13:18">
      <c r="M1192" s="19"/>
      <c r="N1192" s="19"/>
      <c r="O1192" s="19"/>
      <c r="P1192" s="19"/>
      <c r="Q1192" s="19"/>
      <c r="R1192" s="19"/>
    </row>
    <row r="1193" spans="13:18">
      <c r="M1193" s="19"/>
      <c r="N1193" s="19"/>
      <c r="O1193" s="19"/>
      <c r="P1193" s="19"/>
      <c r="Q1193" s="19"/>
      <c r="R1193" s="19"/>
    </row>
    <row r="1194" spans="13:18">
      <c r="M1194" s="19"/>
      <c r="N1194" s="19"/>
      <c r="O1194" s="19"/>
      <c r="P1194" s="19"/>
      <c r="Q1194" s="19"/>
      <c r="R1194" s="19"/>
    </row>
    <row r="1195" spans="13:18">
      <c r="M1195" s="19"/>
      <c r="N1195" s="19"/>
      <c r="O1195" s="19"/>
      <c r="P1195" s="19"/>
      <c r="Q1195" s="19"/>
      <c r="R1195" s="19"/>
    </row>
    <row r="1196" spans="13:18">
      <c r="M1196" s="19"/>
      <c r="N1196" s="19"/>
      <c r="O1196" s="19"/>
      <c r="P1196" s="19"/>
      <c r="Q1196" s="19"/>
      <c r="R1196" s="19"/>
    </row>
    <row r="1197" spans="13:18">
      <c r="M1197" s="19"/>
      <c r="N1197" s="19"/>
      <c r="O1197" s="19"/>
      <c r="P1197" s="19"/>
      <c r="Q1197" s="19"/>
      <c r="R1197" s="19"/>
    </row>
    <row r="1198" spans="13:18">
      <c r="M1198" s="19"/>
      <c r="N1198" s="19"/>
      <c r="O1198" s="19"/>
      <c r="P1198" s="19"/>
      <c r="Q1198" s="19"/>
      <c r="R1198" s="19"/>
    </row>
    <row r="1199" spans="13:18">
      <c r="M1199" s="19"/>
      <c r="N1199" s="19"/>
      <c r="O1199" s="19"/>
      <c r="P1199" s="19"/>
      <c r="Q1199" s="19"/>
      <c r="R1199" s="19"/>
    </row>
    <row r="1200" spans="13:18">
      <c r="M1200" s="19"/>
      <c r="N1200" s="19"/>
      <c r="O1200" s="19"/>
      <c r="P1200" s="19"/>
      <c r="Q1200" s="19"/>
      <c r="R1200" s="19"/>
    </row>
    <row r="1201" spans="13:18">
      <c r="M1201" s="19"/>
      <c r="N1201" s="19"/>
      <c r="O1201" s="19"/>
      <c r="P1201" s="19"/>
      <c r="Q1201" s="19"/>
      <c r="R1201" s="19"/>
    </row>
    <row r="1202" spans="13:18">
      <c r="M1202" s="19"/>
      <c r="N1202" s="19"/>
      <c r="O1202" s="19"/>
      <c r="P1202" s="19"/>
      <c r="Q1202" s="19"/>
      <c r="R1202" s="19"/>
    </row>
    <row r="1203" spans="13:18">
      <c r="M1203" s="19"/>
      <c r="N1203" s="19"/>
      <c r="O1203" s="19"/>
      <c r="P1203" s="19"/>
      <c r="Q1203" s="19"/>
      <c r="R1203" s="19"/>
    </row>
    <row r="1204" spans="13:18">
      <c r="M1204" s="19"/>
      <c r="N1204" s="19"/>
      <c r="O1204" s="19"/>
      <c r="P1204" s="19"/>
      <c r="Q1204" s="19"/>
      <c r="R1204" s="19"/>
    </row>
    <row r="1205" spans="13:18">
      <c r="M1205" s="19"/>
      <c r="N1205" s="19"/>
      <c r="O1205" s="19"/>
      <c r="P1205" s="19"/>
      <c r="Q1205" s="19"/>
      <c r="R1205" s="19"/>
    </row>
    <row r="1206" spans="13:18">
      <c r="M1206" s="19"/>
      <c r="N1206" s="19"/>
      <c r="O1206" s="19"/>
      <c r="P1206" s="19"/>
      <c r="Q1206" s="19"/>
      <c r="R1206" s="19"/>
    </row>
    <row r="1207" spans="13:18">
      <c r="M1207" s="19"/>
      <c r="N1207" s="19"/>
      <c r="O1207" s="19"/>
      <c r="P1207" s="19"/>
      <c r="Q1207" s="19"/>
      <c r="R1207" s="19"/>
    </row>
    <row r="1208" spans="13:18">
      <c r="M1208" s="19"/>
      <c r="N1208" s="19"/>
      <c r="O1208" s="19"/>
      <c r="P1208" s="19"/>
      <c r="Q1208" s="19"/>
      <c r="R1208" s="19"/>
    </row>
    <row r="1209" spans="13:18">
      <c r="M1209" s="19"/>
      <c r="N1209" s="19"/>
      <c r="O1209" s="19"/>
      <c r="P1209" s="19"/>
      <c r="Q1209" s="19"/>
      <c r="R1209" s="19"/>
    </row>
    <row r="1210" spans="13:18">
      <c r="M1210" s="19"/>
      <c r="N1210" s="19"/>
      <c r="O1210" s="19"/>
      <c r="P1210" s="19"/>
      <c r="Q1210" s="19"/>
      <c r="R1210" s="19"/>
    </row>
    <row r="1211" spans="13:18">
      <c r="M1211" s="19"/>
      <c r="N1211" s="19"/>
      <c r="O1211" s="19"/>
      <c r="P1211" s="19"/>
      <c r="Q1211" s="19"/>
      <c r="R1211" s="19"/>
    </row>
    <row r="1212" spans="13:18">
      <c r="M1212" s="19"/>
      <c r="N1212" s="19"/>
      <c r="O1212" s="19"/>
      <c r="P1212" s="19"/>
      <c r="Q1212" s="19"/>
      <c r="R1212" s="19"/>
    </row>
    <row r="1213" spans="13:18">
      <c r="M1213" s="19"/>
      <c r="N1213" s="19"/>
      <c r="O1213" s="19"/>
      <c r="P1213" s="19"/>
      <c r="Q1213" s="19"/>
      <c r="R1213" s="19"/>
    </row>
    <row r="1214" spans="13:18">
      <c r="M1214" s="19"/>
      <c r="N1214" s="19"/>
      <c r="O1214" s="19"/>
      <c r="P1214" s="19"/>
      <c r="Q1214" s="19"/>
      <c r="R1214" s="19"/>
    </row>
    <row r="1215" spans="13:18">
      <c r="M1215" s="19"/>
      <c r="N1215" s="19"/>
      <c r="O1215" s="19"/>
      <c r="P1215" s="19"/>
      <c r="Q1215" s="19"/>
      <c r="R1215" s="19"/>
    </row>
    <row r="1216" spans="13:18">
      <c r="M1216" s="19"/>
      <c r="N1216" s="19"/>
      <c r="O1216" s="19"/>
      <c r="P1216" s="19"/>
      <c r="Q1216" s="19"/>
      <c r="R1216" s="19"/>
    </row>
    <row r="1217" spans="13:18">
      <c r="M1217" s="19"/>
      <c r="N1217" s="19"/>
      <c r="O1217" s="19"/>
      <c r="P1217" s="19"/>
      <c r="Q1217" s="19"/>
      <c r="R1217" s="19"/>
    </row>
    <row r="1218" spans="13:18">
      <c r="M1218" s="19"/>
      <c r="N1218" s="19"/>
      <c r="O1218" s="19"/>
      <c r="P1218" s="19"/>
      <c r="Q1218" s="19"/>
      <c r="R1218" s="19"/>
    </row>
    <row r="1219" spans="13:18">
      <c r="M1219" s="19"/>
      <c r="N1219" s="19"/>
      <c r="O1219" s="19"/>
      <c r="P1219" s="19"/>
      <c r="Q1219" s="19"/>
      <c r="R1219" s="19"/>
    </row>
    <row r="1220" spans="13:18">
      <c r="M1220" s="19"/>
      <c r="N1220" s="19"/>
      <c r="O1220" s="19"/>
      <c r="P1220" s="19"/>
      <c r="Q1220" s="19"/>
      <c r="R1220" s="19"/>
    </row>
    <row r="1221" spans="13:18">
      <c r="M1221" s="19"/>
      <c r="N1221" s="19"/>
      <c r="O1221" s="19"/>
      <c r="P1221" s="19"/>
      <c r="Q1221" s="19"/>
      <c r="R1221" s="19"/>
    </row>
    <row r="1222" spans="13:18">
      <c r="M1222" s="19"/>
      <c r="N1222" s="19"/>
      <c r="O1222" s="19"/>
      <c r="P1222" s="19"/>
      <c r="Q1222" s="19"/>
      <c r="R1222" s="19"/>
    </row>
    <row r="1223" spans="13:18">
      <c r="M1223" s="19"/>
      <c r="N1223" s="19"/>
      <c r="O1223" s="19"/>
      <c r="P1223" s="19"/>
      <c r="Q1223" s="19"/>
      <c r="R1223" s="19"/>
    </row>
    <row r="1224" spans="13:18">
      <c r="M1224" s="19"/>
      <c r="N1224" s="19"/>
      <c r="O1224" s="19"/>
      <c r="P1224" s="19"/>
      <c r="Q1224" s="19"/>
      <c r="R1224" s="19"/>
    </row>
    <row r="1225" spans="13:18">
      <c r="M1225" s="19"/>
      <c r="N1225" s="19"/>
      <c r="O1225" s="19"/>
      <c r="P1225" s="19"/>
      <c r="Q1225" s="19"/>
      <c r="R1225" s="19"/>
    </row>
    <row r="1226" spans="13:18">
      <c r="M1226" s="19"/>
      <c r="N1226" s="19"/>
      <c r="O1226" s="19"/>
      <c r="P1226" s="19"/>
      <c r="Q1226" s="19"/>
      <c r="R1226" s="19"/>
    </row>
    <row r="1227" spans="13:18">
      <c r="M1227" s="19"/>
      <c r="N1227" s="19"/>
      <c r="O1227" s="19"/>
      <c r="P1227" s="19"/>
      <c r="Q1227" s="19"/>
      <c r="R1227" s="19"/>
    </row>
    <row r="1228" spans="13:18">
      <c r="M1228" s="19"/>
      <c r="N1228" s="19"/>
      <c r="O1228" s="19"/>
      <c r="P1228" s="19"/>
      <c r="Q1228" s="19"/>
      <c r="R1228" s="19"/>
    </row>
    <row r="1229" spans="13:18">
      <c r="M1229" s="19"/>
      <c r="N1229" s="19"/>
      <c r="O1229" s="19"/>
      <c r="P1229" s="19"/>
      <c r="Q1229" s="19"/>
      <c r="R1229" s="19"/>
    </row>
    <row r="1230" spans="13:18">
      <c r="M1230" s="19"/>
      <c r="N1230" s="19"/>
      <c r="O1230" s="19"/>
      <c r="P1230" s="19"/>
      <c r="Q1230" s="19"/>
      <c r="R1230" s="19"/>
    </row>
    <row r="1231" spans="13:18">
      <c r="M1231" s="19"/>
      <c r="N1231" s="19"/>
      <c r="O1231" s="19"/>
      <c r="P1231" s="19"/>
      <c r="Q1231" s="19"/>
      <c r="R1231" s="19"/>
    </row>
    <row r="1232" spans="13:18">
      <c r="M1232" s="19"/>
      <c r="N1232" s="19"/>
      <c r="O1232" s="19"/>
      <c r="P1232" s="19"/>
      <c r="Q1232" s="19"/>
      <c r="R1232" s="19"/>
    </row>
    <row r="1233" spans="13:18">
      <c r="M1233" s="19"/>
      <c r="N1233" s="19"/>
      <c r="O1233" s="19"/>
      <c r="P1233" s="19"/>
      <c r="Q1233" s="19"/>
      <c r="R1233" s="19"/>
    </row>
    <row r="1234" spans="13:18">
      <c r="M1234" s="19"/>
      <c r="N1234" s="19"/>
      <c r="O1234" s="19"/>
      <c r="P1234" s="19"/>
      <c r="Q1234" s="19"/>
      <c r="R1234" s="19"/>
    </row>
    <row r="1235" spans="13:18">
      <c r="M1235" s="19"/>
      <c r="N1235" s="19"/>
      <c r="O1235" s="19"/>
      <c r="P1235" s="19"/>
      <c r="Q1235" s="19"/>
      <c r="R1235" s="19"/>
    </row>
    <row r="1236" spans="13:18">
      <c r="M1236" s="19"/>
      <c r="N1236" s="19"/>
      <c r="O1236" s="19"/>
      <c r="P1236" s="19"/>
      <c r="Q1236" s="19"/>
      <c r="R1236" s="19"/>
    </row>
    <row r="1237" spans="13:18">
      <c r="M1237" s="19"/>
      <c r="N1237" s="19"/>
      <c r="O1237" s="19"/>
      <c r="P1237" s="19"/>
      <c r="Q1237" s="19"/>
      <c r="R1237" s="19"/>
    </row>
    <row r="1238" spans="13:18">
      <c r="M1238" s="19"/>
      <c r="N1238" s="19"/>
      <c r="O1238" s="19"/>
      <c r="P1238" s="19"/>
      <c r="Q1238" s="19"/>
      <c r="R1238" s="19"/>
    </row>
    <row r="1239" spans="13:18">
      <c r="M1239" s="19"/>
      <c r="N1239" s="19"/>
      <c r="O1239" s="19"/>
      <c r="P1239" s="19"/>
      <c r="Q1239" s="19"/>
      <c r="R1239" s="19"/>
    </row>
    <row r="1240" spans="13:18">
      <c r="M1240" s="19"/>
      <c r="N1240" s="19"/>
      <c r="O1240" s="19"/>
      <c r="P1240" s="19"/>
      <c r="Q1240" s="19"/>
      <c r="R1240" s="19"/>
    </row>
    <row r="1241" spans="13:18">
      <c r="M1241" s="19"/>
      <c r="N1241" s="19"/>
      <c r="O1241" s="19"/>
      <c r="P1241" s="19"/>
      <c r="Q1241" s="19"/>
      <c r="R1241" s="19"/>
    </row>
    <row r="1242" spans="13:18">
      <c r="M1242" s="19"/>
      <c r="N1242" s="19"/>
      <c r="O1242" s="19"/>
      <c r="P1242" s="19"/>
      <c r="Q1242" s="19"/>
      <c r="R1242" s="19"/>
    </row>
    <row r="1243" spans="13:18">
      <c r="M1243" s="19"/>
      <c r="N1243" s="19"/>
      <c r="O1243" s="19"/>
      <c r="P1243" s="19"/>
      <c r="Q1243" s="19"/>
      <c r="R1243" s="19"/>
    </row>
    <row r="1244" spans="13:18">
      <c r="M1244" s="19"/>
      <c r="N1244" s="19"/>
      <c r="O1244" s="19"/>
      <c r="P1244" s="19"/>
      <c r="Q1244" s="19"/>
      <c r="R1244" s="19"/>
    </row>
    <row r="1245" spans="13:18">
      <c r="M1245" s="19"/>
      <c r="N1245" s="19"/>
      <c r="O1245" s="19"/>
      <c r="P1245" s="19"/>
      <c r="Q1245" s="19"/>
      <c r="R1245" s="19"/>
    </row>
    <row r="1246" spans="13:18">
      <c r="M1246" s="19"/>
      <c r="N1246" s="19"/>
      <c r="O1246" s="19"/>
      <c r="P1246" s="19"/>
      <c r="Q1246" s="19"/>
      <c r="R1246" s="19"/>
    </row>
    <row r="1247" spans="13:18">
      <c r="M1247" s="19"/>
      <c r="N1247" s="19"/>
      <c r="O1247" s="19"/>
      <c r="P1247" s="19"/>
      <c r="Q1247" s="19"/>
      <c r="R1247" s="19"/>
    </row>
    <row r="1248" spans="13:18">
      <c r="M1248" s="19"/>
      <c r="N1248" s="19"/>
      <c r="O1248" s="19"/>
      <c r="P1248" s="19"/>
      <c r="Q1248" s="19"/>
      <c r="R1248" s="19"/>
    </row>
    <row r="1249" spans="13:18">
      <c r="M1249" s="19"/>
      <c r="N1249" s="19"/>
      <c r="O1249" s="19"/>
      <c r="P1249" s="19"/>
      <c r="Q1249" s="19"/>
      <c r="R1249" s="19"/>
    </row>
    <row r="1250" spans="13:18">
      <c r="M1250" s="19"/>
      <c r="N1250" s="19"/>
      <c r="O1250" s="19"/>
      <c r="P1250" s="19"/>
      <c r="Q1250" s="19"/>
      <c r="R1250" s="19"/>
    </row>
    <row r="1251" spans="13:18">
      <c r="M1251" s="19"/>
      <c r="N1251" s="19"/>
      <c r="O1251" s="19"/>
      <c r="P1251" s="19"/>
      <c r="Q1251" s="19"/>
      <c r="R1251" s="19"/>
    </row>
    <row r="1252" spans="13:18">
      <c r="M1252" s="19"/>
      <c r="N1252" s="19"/>
      <c r="O1252" s="19"/>
      <c r="P1252" s="19"/>
      <c r="Q1252" s="19"/>
      <c r="R1252" s="19"/>
    </row>
    <row r="1253" spans="13:18">
      <c r="M1253" s="19"/>
      <c r="N1253" s="19"/>
      <c r="O1253" s="19"/>
      <c r="P1253" s="19"/>
      <c r="Q1253" s="19"/>
      <c r="R1253" s="19"/>
    </row>
    <row r="1254" spans="13:18">
      <c r="M1254" s="19"/>
      <c r="N1254" s="19"/>
      <c r="O1254" s="19"/>
      <c r="P1254" s="19"/>
      <c r="Q1254" s="19"/>
      <c r="R1254" s="19"/>
    </row>
    <row r="1255" spans="13:18">
      <c r="M1255" s="19"/>
      <c r="N1255" s="19"/>
      <c r="O1255" s="19"/>
      <c r="P1255" s="19"/>
      <c r="Q1255" s="19"/>
      <c r="R1255" s="19"/>
    </row>
    <row r="1256" spans="13:18">
      <c r="M1256" s="19"/>
      <c r="N1256" s="19"/>
      <c r="O1256" s="19"/>
      <c r="P1256" s="19"/>
      <c r="Q1256" s="19"/>
      <c r="R1256" s="19"/>
    </row>
    <row r="1257" spans="13:18">
      <c r="M1257" s="19"/>
      <c r="N1257" s="19"/>
      <c r="O1257" s="19"/>
      <c r="P1257" s="19"/>
      <c r="Q1257" s="19"/>
      <c r="R1257" s="19"/>
    </row>
    <row r="1258" spans="13:18">
      <c r="M1258" s="19"/>
      <c r="N1258" s="19"/>
      <c r="O1258" s="19"/>
      <c r="P1258" s="19"/>
      <c r="Q1258" s="19"/>
      <c r="R1258" s="19"/>
    </row>
    <row r="1259" spans="13:18">
      <c r="M1259" s="19"/>
      <c r="N1259" s="19"/>
      <c r="O1259" s="19"/>
      <c r="P1259" s="19"/>
      <c r="Q1259" s="19"/>
      <c r="R1259" s="19"/>
    </row>
    <row r="1260" spans="13:18">
      <c r="M1260" s="19"/>
      <c r="N1260" s="19"/>
      <c r="O1260" s="19"/>
      <c r="P1260" s="19"/>
      <c r="Q1260" s="19"/>
      <c r="R1260" s="19"/>
    </row>
    <row r="1261" spans="13:18">
      <c r="M1261" s="19"/>
      <c r="N1261" s="19"/>
      <c r="O1261" s="19"/>
      <c r="P1261" s="19"/>
      <c r="Q1261" s="19"/>
      <c r="R1261" s="19"/>
    </row>
    <row r="1262" spans="13:18">
      <c r="M1262" s="19"/>
      <c r="N1262" s="19"/>
      <c r="O1262" s="19"/>
      <c r="P1262" s="19"/>
      <c r="Q1262" s="19"/>
      <c r="R1262" s="19"/>
    </row>
    <row r="1263" spans="13:18">
      <c r="M1263" s="19"/>
      <c r="N1263" s="19"/>
      <c r="O1263" s="19"/>
      <c r="P1263" s="19"/>
      <c r="Q1263" s="19"/>
      <c r="R1263" s="19"/>
    </row>
    <row r="1264" spans="13:18">
      <c r="M1264" s="19"/>
      <c r="N1264" s="19"/>
      <c r="O1264" s="19"/>
      <c r="P1264" s="19"/>
      <c r="Q1264" s="19"/>
      <c r="R1264" s="19"/>
    </row>
    <row r="1265" spans="13:18">
      <c r="M1265" s="19"/>
      <c r="N1265" s="19"/>
      <c r="O1265" s="19"/>
      <c r="P1265" s="19"/>
      <c r="Q1265" s="19"/>
      <c r="R1265" s="19"/>
    </row>
    <row r="1266" spans="13:18">
      <c r="M1266" s="19"/>
      <c r="N1266" s="19"/>
      <c r="O1266" s="19"/>
      <c r="P1266" s="19"/>
      <c r="Q1266" s="19"/>
      <c r="R1266" s="19"/>
    </row>
    <row r="1267" spans="13:18">
      <c r="M1267" s="19"/>
      <c r="N1267" s="19"/>
      <c r="O1267" s="19"/>
      <c r="P1267" s="19"/>
      <c r="Q1267" s="19"/>
      <c r="R1267" s="19"/>
    </row>
    <row r="1268" spans="13:18">
      <c r="M1268" s="19"/>
      <c r="N1268" s="19"/>
      <c r="O1268" s="19"/>
      <c r="P1268" s="19"/>
      <c r="Q1268" s="19"/>
      <c r="R1268" s="19"/>
    </row>
    <row r="1269" spans="13:18">
      <c r="M1269" s="19"/>
      <c r="N1269" s="19"/>
      <c r="O1269" s="19"/>
      <c r="P1269" s="19"/>
      <c r="Q1269" s="19"/>
      <c r="R1269" s="19"/>
    </row>
    <row r="1270" spans="13:18">
      <c r="M1270" s="19"/>
      <c r="N1270" s="19"/>
      <c r="O1270" s="19"/>
      <c r="P1270" s="19"/>
      <c r="Q1270" s="19"/>
      <c r="R1270" s="19"/>
    </row>
    <row r="1271" spans="13:18">
      <c r="M1271" s="19"/>
      <c r="N1271" s="19"/>
      <c r="O1271" s="19"/>
      <c r="P1271" s="19"/>
      <c r="Q1271" s="19"/>
      <c r="R1271" s="19"/>
    </row>
    <row r="1272" spans="13:18">
      <c r="M1272" s="19"/>
      <c r="N1272" s="19"/>
      <c r="O1272" s="19"/>
      <c r="P1272" s="19"/>
      <c r="Q1272" s="19"/>
      <c r="R1272" s="19"/>
    </row>
    <row r="1273" spans="13:18">
      <c r="M1273" s="19"/>
      <c r="N1273" s="19"/>
      <c r="O1273" s="19"/>
      <c r="P1273" s="19"/>
      <c r="Q1273" s="19"/>
      <c r="R1273" s="19"/>
    </row>
    <row r="1274" spans="13:18">
      <c r="M1274" s="19"/>
      <c r="N1274" s="19"/>
      <c r="O1274" s="19"/>
      <c r="P1274" s="19"/>
      <c r="Q1274" s="19"/>
      <c r="R1274" s="19"/>
    </row>
    <row r="1275" spans="13:18">
      <c r="M1275" s="19"/>
      <c r="N1275" s="19"/>
      <c r="O1275" s="19"/>
      <c r="P1275" s="19"/>
      <c r="Q1275" s="19"/>
      <c r="R1275" s="19"/>
    </row>
    <row r="1276" spans="13:18">
      <c r="M1276" s="19"/>
      <c r="N1276" s="19"/>
      <c r="O1276" s="19"/>
      <c r="P1276" s="19"/>
      <c r="Q1276" s="19"/>
      <c r="R1276" s="19"/>
    </row>
    <row r="1277" spans="13:18">
      <c r="M1277" s="19"/>
      <c r="N1277" s="19"/>
      <c r="O1277" s="19"/>
      <c r="P1277" s="19"/>
      <c r="Q1277" s="19"/>
      <c r="R1277" s="19"/>
    </row>
    <row r="1278" spans="13:18">
      <c r="M1278" s="19"/>
      <c r="N1278" s="19"/>
      <c r="O1278" s="19"/>
      <c r="P1278" s="19"/>
      <c r="Q1278" s="19"/>
      <c r="R1278" s="19"/>
    </row>
    <row r="1279" spans="13:18">
      <c r="M1279" s="19"/>
      <c r="N1279" s="19"/>
      <c r="O1279" s="19"/>
      <c r="P1279" s="19"/>
      <c r="Q1279" s="19"/>
      <c r="R1279" s="19"/>
    </row>
    <row r="1280" spans="13:18">
      <c r="M1280" s="19"/>
      <c r="N1280" s="19"/>
      <c r="O1280" s="19"/>
      <c r="P1280" s="19"/>
      <c r="Q1280" s="19"/>
      <c r="R1280" s="19"/>
    </row>
    <row r="1281" spans="13:18">
      <c r="M1281" s="19"/>
      <c r="N1281" s="19"/>
      <c r="O1281" s="19"/>
      <c r="P1281" s="19"/>
      <c r="Q1281" s="19"/>
      <c r="R1281" s="19"/>
    </row>
    <row r="1282" spans="13:18">
      <c r="M1282" s="19"/>
      <c r="N1282" s="19"/>
      <c r="O1282" s="19"/>
      <c r="P1282" s="19"/>
      <c r="Q1282" s="19"/>
      <c r="R1282" s="19"/>
    </row>
    <row r="1283" spans="13:18">
      <c r="M1283" s="19"/>
      <c r="N1283" s="19"/>
      <c r="O1283" s="19"/>
      <c r="P1283" s="19"/>
      <c r="Q1283" s="19"/>
      <c r="R1283" s="19"/>
    </row>
    <row r="1284" spans="13:18">
      <c r="M1284" s="19"/>
      <c r="N1284" s="19"/>
      <c r="O1284" s="19"/>
      <c r="P1284" s="19"/>
      <c r="Q1284" s="19"/>
      <c r="R1284" s="19"/>
    </row>
    <row r="1285" spans="13:18">
      <c r="M1285" s="19"/>
      <c r="N1285" s="19"/>
      <c r="O1285" s="19"/>
      <c r="P1285" s="19"/>
      <c r="Q1285" s="19"/>
      <c r="R1285" s="19"/>
    </row>
    <row r="1286" spans="13:18">
      <c r="M1286" s="19"/>
      <c r="N1286" s="19"/>
      <c r="O1286" s="19"/>
      <c r="P1286" s="19"/>
      <c r="Q1286" s="19"/>
      <c r="R1286" s="19"/>
    </row>
    <row r="1287" spans="13:18">
      <c r="M1287" s="19"/>
      <c r="N1287" s="19"/>
      <c r="O1287" s="19"/>
      <c r="P1287" s="19"/>
      <c r="Q1287" s="19"/>
      <c r="R1287" s="19"/>
    </row>
    <row r="1288" spans="13:18">
      <c r="M1288" s="19"/>
      <c r="N1288" s="19"/>
      <c r="O1288" s="19"/>
      <c r="P1288" s="19"/>
      <c r="Q1288" s="19"/>
      <c r="R1288" s="19"/>
    </row>
    <row r="1289" spans="13:18">
      <c r="M1289" s="19"/>
      <c r="N1289" s="19"/>
      <c r="O1289" s="19"/>
      <c r="P1289" s="19"/>
      <c r="Q1289" s="19"/>
      <c r="R1289" s="19"/>
    </row>
    <row r="1290" spans="13:18">
      <c r="M1290" s="19"/>
      <c r="N1290" s="19"/>
      <c r="O1290" s="19"/>
      <c r="P1290" s="19"/>
      <c r="Q1290" s="19"/>
      <c r="R1290" s="19"/>
    </row>
    <row r="1291" spans="13:18">
      <c r="M1291" s="19"/>
      <c r="N1291" s="19"/>
      <c r="O1291" s="19"/>
      <c r="P1291" s="19"/>
      <c r="Q1291" s="19"/>
      <c r="R1291" s="19"/>
    </row>
    <row r="1292" spans="13:18">
      <c r="M1292" s="19"/>
      <c r="N1292" s="19"/>
      <c r="O1292" s="19"/>
      <c r="P1292" s="19"/>
      <c r="Q1292" s="19"/>
      <c r="R1292" s="19"/>
    </row>
    <row r="1293" spans="13:18">
      <c r="M1293" s="19"/>
      <c r="N1293" s="19"/>
      <c r="O1293" s="19"/>
      <c r="P1293" s="19"/>
      <c r="Q1293" s="19"/>
      <c r="R1293" s="19"/>
    </row>
    <row r="1294" spans="13:18">
      <c r="M1294" s="19"/>
      <c r="N1294" s="19"/>
      <c r="O1294" s="19"/>
      <c r="P1294" s="19"/>
      <c r="Q1294" s="19"/>
      <c r="R1294" s="19"/>
    </row>
    <row r="1295" spans="13:18">
      <c r="M1295" s="19"/>
      <c r="N1295" s="19"/>
      <c r="O1295" s="19"/>
      <c r="P1295" s="19"/>
      <c r="Q1295" s="19"/>
      <c r="R1295" s="19"/>
    </row>
    <row r="1296" spans="13:18">
      <c r="M1296" s="19"/>
      <c r="N1296" s="19"/>
      <c r="O1296" s="19"/>
      <c r="P1296" s="19"/>
      <c r="Q1296" s="19"/>
      <c r="R1296" s="19"/>
    </row>
    <row r="1297" spans="13:18">
      <c r="M1297" s="19"/>
      <c r="N1297" s="19"/>
      <c r="O1297" s="19"/>
      <c r="P1297" s="19"/>
      <c r="Q1297" s="19"/>
      <c r="R1297" s="19"/>
    </row>
    <row r="1298" spans="13:18">
      <c r="M1298" s="19"/>
      <c r="N1298" s="19"/>
      <c r="O1298" s="19"/>
      <c r="P1298" s="19"/>
      <c r="Q1298" s="19"/>
      <c r="R1298" s="19"/>
    </row>
    <row r="1299" spans="13:18">
      <c r="M1299" s="19"/>
      <c r="N1299" s="19"/>
      <c r="O1299" s="19"/>
      <c r="P1299" s="19"/>
      <c r="Q1299" s="19"/>
      <c r="R1299" s="19"/>
    </row>
    <row r="1300" spans="13:18">
      <c r="M1300" s="19"/>
      <c r="N1300" s="19"/>
      <c r="O1300" s="19"/>
      <c r="P1300" s="19"/>
      <c r="Q1300" s="19"/>
      <c r="R1300" s="19"/>
    </row>
    <row r="1301" spans="13:18">
      <c r="M1301" s="19"/>
      <c r="N1301" s="19"/>
      <c r="O1301" s="19"/>
      <c r="P1301" s="19"/>
      <c r="Q1301" s="19"/>
      <c r="R1301" s="19"/>
    </row>
    <row r="1302" spans="13:18">
      <c r="M1302" s="19"/>
      <c r="N1302" s="19"/>
      <c r="O1302" s="19"/>
      <c r="P1302" s="19"/>
      <c r="Q1302" s="19"/>
      <c r="R1302" s="19"/>
    </row>
    <row r="1303" spans="13:18">
      <c r="M1303" s="19"/>
      <c r="N1303" s="19"/>
      <c r="O1303" s="19"/>
      <c r="P1303" s="19"/>
      <c r="Q1303" s="19"/>
      <c r="R1303" s="19"/>
    </row>
    <row r="1304" spans="13:18">
      <c r="M1304" s="19"/>
      <c r="N1304" s="19"/>
      <c r="O1304" s="19"/>
      <c r="P1304" s="19"/>
      <c r="Q1304" s="19"/>
      <c r="R1304" s="19"/>
    </row>
    <row r="1305" spans="13:18">
      <c r="M1305" s="19"/>
      <c r="N1305" s="19"/>
      <c r="O1305" s="19"/>
      <c r="P1305" s="19"/>
      <c r="Q1305" s="19"/>
      <c r="R1305" s="19"/>
    </row>
    <row r="1306" spans="13:18">
      <c r="M1306" s="19"/>
      <c r="N1306" s="19"/>
      <c r="O1306" s="19"/>
      <c r="P1306" s="19"/>
      <c r="Q1306" s="19"/>
      <c r="R1306" s="19"/>
    </row>
    <row r="1307" spans="13:18">
      <c r="M1307" s="19"/>
      <c r="N1307" s="19"/>
      <c r="O1307" s="19"/>
      <c r="P1307" s="19"/>
      <c r="Q1307" s="19"/>
      <c r="R1307" s="19"/>
    </row>
    <row r="1308" spans="13:18">
      <c r="M1308" s="19"/>
      <c r="N1308" s="19"/>
      <c r="O1308" s="19"/>
      <c r="P1308" s="19"/>
      <c r="Q1308" s="19"/>
      <c r="R1308" s="19"/>
    </row>
    <row r="1309" spans="13:18">
      <c r="M1309" s="19"/>
      <c r="N1309" s="19"/>
      <c r="O1309" s="19"/>
      <c r="P1309" s="19"/>
      <c r="Q1309" s="19"/>
      <c r="R1309" s="19"/>
    </row>
    <row r="1310" spans="13:18">
      <c r="M1310" s="19"/>
      <c r="N1310" s="19"/>
      <c r="O1310" s="19"/>
      <c r="P1310" s="19"/>
      <c r="Q1310" s="19"/>
      <c r="R1310" s="19"/>
    </row>
    <row r="1311" spans="13:18">
      <c r="M1311" s="19"/>
      <c r="N1311" s="19"/>
      <c r="O1311" s="19"/>
      <c r="P1311" s="19"/>
      <c r="Q1311" s="19"/>
      <c r="R1311" s="19"/>
    </row>
    <row r="1312" spans="13:18">
      <c r="M1312" s="19"/>
      <c r="N1312" s="19"/>
      <c r="O1312" s="19"/>
      <c r="P1312" s="19"/>
      <c r="Q1312" s="19"/>
      <c r="R1312" s="19"/>
    </row>
    <row r="1313" spans="13:18">
      <c r="M1313" s="19"/>
      <c r="N1313" s="19"/>
      <c r="O1313" s="19"/>
      <c r="P1313" s="19"/>
      <c r="Q1313" s="19"/>
      <c r="R1313" s="19"/>
    </row>
    <row r="1314" spans="13:18">
      <c r="M1314" s="19"/>
      <c r="N1314" s="19"/>
      <c r="O1314" s="19"/>
      <c r="P1314" s="19"/>
      <c r="Q1314" s="19"/>
      <c r="R1314" s="19"/>
    </row>
    <row r="1315" spans="13:18">
      <c r="M1315" s="19"/>
      <c r="N1315" s="19"/>
      <c r="O1315" s="19"/>
      <c r="P1315" s="19"/>
      <c r="Q1315" s="19"/>
      <c r="R1315" s="19"/>
    </row>
    <row r="1316" spans="13:18">
      <c r="M1316" s="19"/>
      <c r="N1316" s="19"/>
      <c r="O1316" s="19"/>
      <c r="P1316" s="19"/>
      <c r="Q1316" s="19"/>
      <c r="R1316" s="19"/>
    </row>
    <row r="1317" spans="13:18">
      <c r="M1317" s="19"/>
      <c r="N1317" s="19"/>
      <c r="O1317" s="19"/>
      <c r="P1317" s="19"/>
      <c r="Q1317" s="19"/>
      <c r="R1317" s="19"/>
    </row>
    <row r="1318" spans="13:18">
      <c r="M1318" s="19"/>
      <c r="N1318" s="19"/>
      <c r="O1318" s="19"/>
      <c r="P1318" s="19"/>
      <c r="Q1318" s="19"/>
      <c r="R1318" s="19"/>
    </row>
    <row r="1319" spans="13:18">
      <c r="M1319" s="19"/>
      <c r="N1319" s="19"/>
      <c r="O1319" s="19"/>
      <c r="P1319" s="19"/>
      <c r="Q1319" s="19"/>
      <c r="R1319" s="19"/>
    </row>
    <row r="1320" spans="13:18">
      <c r="M1320" s="19"/>
      <c r="N1320" s="19"/>
      <c r="O1320" s="19"/>
      <c r="P1320" s="19"/>
      <c r="Q1320" s="19"/>
      <c r="R1320" s="19"/>
    </row>
    <row r="1321" spans="13:18">
      <c r="M1321" s="19"/>
      <c r="N1321" s="19"/>
      <c r="O1321" s="19"/>
      <c r="P1321" s="19"/>
      <c r="Q1321" s="19"/>
      <c r="R1321" s="19"/>
    </row>
    <row r="1322" spans="13:18">
      <c r="M1322" s="19"/>
      <c r="N1322" s="19"/>
      <c r="O1322" s="19"/>
      <c r="P1322" s="19"/>
      <c r="Q1322" s="19"/>
      <c r="R1322" s="19"/>
    </row>
    <row r="1323" spans="13:18">
      <c r="M1323" s="19"/>
      <c r="N1323" s="19"/>
      <c r="O1323" s="19"/>
      <c r="P1323" s="19"/>
      <c r="Q1323" s="19"/>
      <c r="R1323" s="19"/>
    </row>
    <row r="1324" spans="13:18">
      <c r="M1324" s="19"/>
      <c r="N1324" s="19"/>
      <c r="O1324" s="19"/>
      <c r="P1324" s="19"/>
      <c r="Q1324" s="19"/>
      <c r="R1324" s="19"/>
    </row>
    <row r="1325" spans="13:18">
      <c r="M1325" s="19"/>
      <c r="N1325" s="19"/>
      <c r="O1325" s="19"/>
      <c r="P1325" s="19"/>
      <c r="Q1325" s="19"/>
      <c r="R1325" s="19"/>
    </row>
    <row r="1326" spans="13:18">
      <c r="M1326" s="19"/>
      <c r="N1326" s="19"/>
      <c r="O1326" s="19"/>
      <c r="P1326" s="19"/>
      <c r="Q1326" s="19"/>
      <c r="R1326" s="19"/>
    </row>
    <row r="1327" spans="13:18">
      <c r="M1327" s="19"/>
      <c r="N1327" s="19"/>
      <c r="O1327" s="19"/>
      <c r="P1327" s="19"/>
      <c r="Q1327" s="19"/>
      <c r="R1327" s="19"/>
    </row>
    <row r="1328" spans="13:18">
      <c r="M1328" s="19"/>
      <c r="N1328" s="19"/>
      <c r="O1328" s="19"/>
      <c r="P1328" s="19"/>
      <c r="Q1328" s="19"/>
      <c r="R1328" s="19"/>
    </row>
    <row r="1329" spans="13:18">
      <c r="M1329" s="19"/>
      <c r="N1329" s="19"/>
      <c r="O1329" s="19"/>
      <c r="P1329" s="19"/>
      <c r="Q1329" s="19"/>
      <c r="R1329" s="19"/>
    </row>
    <row r="1330" spans="13:18">
      <c r="M1330" s="19"/>
      <c r="N1330" s="19"/>
      <c r="O1330" s="19"/>
      <c r="P1330" s="19"/>
      <c r="Q1330" s="19"/>
      <c r="R1330" s="19"/>
    </row>
    <row r="1331" spans="13:18">
      <c r="M1331" s="19"/>
      <c r="N1331" s="19"/>
      <c r="O1331" s="19"/>
      <c r="P1331" s="19"/>
      <c r="Q1331" s="19"/>
      <c r="R1331" s="19"/>
    </row>
    <row r="1332" spans="13:18">
      <c r="M1332" s="19"/>
      <c r="N1332" s="19"/>
      <c r="O1332" s="19"/>
      <c r="P1332" s="19"/>
      <c r="Q1332" s="19"/>
      <c r="R1332" s="19"/>
    </row>
    <row r="1333" spans="13:18">
      <c r="M1333" s="19"/>
      <c r="N1333" s="19"/>
      <c r="O1333" s="19"/>
      <c r="P1333" s="19"/>
      <c r="Q1333" s="19"/>
      <c r="R1333" s="19"/>
    </row>
    <row r="1334" spans="13:18">
      <c r="M1334" s="19"/>
      <c r="N1334" s="19"/>
      <c r="O1334" s="19"/>
      <c r="P1334" s="19"/>
      <c r="Q1334" s="19"/>
      <c r="R1334" s="19"/>
    </row>
    <row r="1335" spans="13:18">
      <c r="M1335" s="19"/>
      <c r="N1335" s="19"/>
      <c r="O1335" s="19"/>
      <c r="P1335" s="19"/>
      <c r="Q1335" s="19"/>
      <c r="R1335" s="19"/>
    </row>
    <row r="1336" spans="13:18">
      <c r="M1336" s="19"/>
      <c r="N1336" s="19"/>
      <c r="O1336" s="19"/>
      <c r="P1336" s="19"/>
      <c r="Q1336" s="19"/>
      <c r="R1336" s="19"/>
    </row>
    <row r="1337" spans="13:18">
      <c r="M1337" s="19"/>
      <c r="N1337" s="19"/>
      <c r="O1337" s="19"/>
      <c r="P1337" s="19"/>
      <c r="Q1337" s="19"/>
      <c r="R1337" s="19"/>
    </row>
    <row r="1338" spans="13:18">
      <c r="M1338" s="19"/>
      <c r="N1338" s="19"/>
      <c r="O1338" s="19"/>
      <c r="P1338" s="19"/>
      <c r="Q1338" s="19"/>
      <c r="R1338" s="19"/>
    </row>
    <row r="1339" spans="13:18">
      <c r="M1339" s="19"/>
      <c r="N1339" s="19"/>
      <c r="O1339" s="19"/>
      <c r="P1339" s="19"/>
      <c r="Q1339" s="19"/>
      <c r="R1339" s="19"/>
    </row>
    <row r="1340" spans="13:18">
      <c r="M1340" s="19"/>
      <c r="N1340" s="19"/>
      <c r="O1340" s="19"/>
      <c r="P1340" s="19"/>
      <c r="Q1340" s="19"/>
      <c r="R1340" s="19"/>
    </row>
    <row r="1341" spans="13:18">
      <c r="M1341" s="19"/>
      <c r="N1341" s="19"/>
      <c r="O1341" s="19"/>
      <c r="P1341" s="19"/>
      <c r="Q1341" s="19"/>
      <c r="R1341" s="19"/>
    </row>
    <row r="1342" spans="13:18">
      <c r="M1342" s="19"/>
      <c r="N1342" s="19"/>
      <c r="O1342" s="19"/>
      <c r="P1342" s="19"/>
      <c r="Q1342" s="19"/>
      <c r="R1342" s="19"/>
    </row>
    <row r="1343" spans="13:18">
      <c r="M1343" s="19"/>
      <c r="N1343" s="19"/>
      <c r="O1343" s="19"/>
      <c r="P1343" s="19"/>
      <c r="Q1343" s="19"/>
      <c r="R1343" s="19"/>
    </row>
    <row r="1344" spans="13:18">
      <c r="M1344" s="19"/>
      <c r="N1344" s="19"/>
      <c r="O1344" s="19"/>
      <c r="P1344" s="19"/>
      <c r="Q1344" s="19"/>
      <c r="R1344" s="19"/>
    </row>
    <row r="1345" spans="13:18">
      <c r="M1345" s="19"/>
      <c r="N1345" s="19"/>
      <c r="O1345" s="19"/>
      <c r="P1345" s="19"/>
      <c r="Q1345" s="19"/>
      <c r="R1345" s="19"/>
    </row>
    <row r="1346" spans="13:18">
      <c r="M1346" s="19"/>
      <c r="N1346" s="19"/>
      <c r="O1346" s="19"/>
      <c r="P1346" s="19"/>
      <c r="Q1346" s="19"/>
      <c r="R1346" s="19"/>
    </row>
    <row r="1347" spans="13:18">
      <c r="M1347" s="19"/>
      <c r="N1347" s="19"/>
      <c r="O1347" s="19"/>
      <c r="P1347" s="19"/>
      <c r="Q1347" s="19"/>
      <c r="R1347" s="19"/>
    </row>
    <row r="1348" spans="13:18">
      <c r="M1348" s="19"/>
      <c r="N1348" s="19"/>
      <c r="O1348" s="19"/>
      <c r="P1348" s="19"/>
      <c r="Q1348" s="19"/>
      <c r="R1348" s="19"/>
    </row>
    <row r="1349" spans="13:18">
      <c r="M1349" s="19"/>
      <c r="N1349" s="19"/>
      <c r="O1349" s="19"/>
      <c r="P1349" s="19"/>
      <c r="Q1349" s="19"/>
      <c r="R1349" s="19"/>
    </row>
    <row r="1350" spans="13:18">
      <c r="M1350" s="19"/>
      <c r="N1350" s="19"/>
      <c r="O1350" s="19"/>
      <c r="P1350" s="19"/>
      <c r="Q1350" s="19"/>
      <c r="R1350" s="19"/>
    </row>
    <row r="1351" spans="13:18">
      <c r="M1351" s="19"/>
      <c r="N1351" s="19"/>
      <c r="O1351" s="19"/>
      <c r="P1351" s="19"/>
      <c r="Q1351" s="19"/>
      <c r="R1351" s="19"/>
    </row>
    <row r="1352" spans="13:18">
      <c r="M1352" s="19"/>
      <c r="N1352" s="19"/>
      <c r="O1352" s="19"/>
      <c r="P1352" s="19"/>
      <c r="Q1352" s="19"/>
      <c r="R1352" s="19"/>
    </row>
    <row r="1353" spans="13:18">
      <c r="M1353" s="19"/>
      <c r="N1353" s="19"/>
      <c r="O1353" s="19"/>
      <c r="P1353" s="19"/>
      <c r="Q1353" s="19"/>
      <c r="R1353" s="19"/>
    </row>
    <row r="1354" spans="13:18">
      <c r="M1354" s="19"/>
      <c r="N1354" s="19"/>
      <c r="O1354" s="19"/>
      <c r="P1354" s="19"/>
      <c r="Q1354" s="19"/>
      <c r="R1354" s="19"/>
    </row>
    <row r="1355" spans="13:18">
      <c r="M1355" s="19"/>
      <c r="N1355" s="19"/>
      <c r="O1355" s="19"/>
      <c r="P1355" s="19"/>
      <c r="Q1355" s="19"/>
      <c r="R1355" s="19"/>
    </row>
    <row r="1356" spans="13:18">
      <c r="M1356" s="19"/>
      <c r="N1356" s="19"/>
      <c r="O1356" s="19"/>
      <c r="P1356" s="19"/>
      <c r="Q1356" s="19"/>
      <c r="R1356" s="19"/>
    </row>
    <row r="1357" spans="13:18">
      <c r="M1357" s="19"/>
      <c r="N1357" s="19"/>
      <c r="O1357" s="19"/>
      <c r="P1357" s="19"/>
      <c r="Q1357" s="19"/>
      <c r="R1357" s="19"/>
    </row>
    <row r="1358" spans="13:18">
      <c r="M1358" s="19"/>
      <c r="N1358" s="19"/>
      <c r="O1358" s="19"/>
      <c r="P1358" s="19"/>
      <c r="Q1358" s="19"/>
      <c r="R1358" s="19"/>
    </row>
    <row r="1359" spans="13:18">
      <c r="M1359" s="19"/>
      <c r="N1359" s="19"/>
      <c r="O1359" s="19"/>
      <c r="P1359" s="19"/>
      <c r="Q1359" s="19"/>
      <c r="R1359" s="19"/>
    </row>
    <row r="1360" spans="13:18">
      <c r="M1360" s="19"/>
      <c r="N1360" s="19"/>
      <c r="O1360" s="19"/>
      <c r="P1360" s="19"/>
      <c r="Q1360" s="19"/>
      <c r="R1360" s="19"/>
    </row>
    <row r="1361" spans="13:18">
      <c r="M1361" s="19"/>
      <c r="N1361" s="19"/>
      <c r="O1361" s="19"/>
      <c r="P1361" s="19"/>
      <c r="Q1361" s="19"/>
      <c r="R1361" s="19"/>
    </row>
    <row r="1362" spans="13:18">
      <c r="M1362" s="19"/>
      <c r="N1362" s="19"/>
      <c r="O1362" s="19"/>
      <c r="P1362" s="19"/>
      <c r="Q1362" s="19"/>
      <c r="R1362" s="19"/>
    </row>
    <row r="1363" spans="13:18">
      <c r="M1363" s="19"/>
      <c r="N1363" s="19"/>
      <c r="O1363" s="19"/>
      <c r="P1363" s="19"/>
      <c r="Q1363" s="19"/>
      <c r="R1363" s="19"/>
    </row>
    <row r="1364" spans="13:18">
      <c r="M1364" s="19"/>
      <c r="N1364" s="19"/>
      <c r="O1364" s="19"/>
      <c r="P1364" s="19"/>
      <c r="Q1364" s="19"/>
      <c r="R1364" s="19"/>
    </row>
    <row r="1365" spans="13:18">
      <c r="M1365" s="19"/>
      <c r="N1365" s="19"/>
      <c r="O1365" s="19"/>
      <c r="P1365" s="19"/>
      <c r="Q1365" s="19"/>
      <c r="R1365" s="19"/>
    </row>
    <row r="1366" spans="13:18">
      <c r="M1366" s="19"/>
      <c r="N1366" s="19"/>
      <c r="O1366" s="19"/>
      <c r="P1366" s="19"/>
      <c r="Q1366" s="19"/>
      <c r="R1366" s="19"/>
    </row>
    <row r="1367" spans="13:18">
      <c r="M1367" s="19"/>
      <c r="N1367" s="19"/>
      <c r="O1367" s="19"/>
      <c r="P1367" s="19"/>
      <c r="Q1367" s="19"/>
      <c r="R1367" s="19"/>
    </row>
    <row r="1368" spans="13:18">
      <c r="M1368" s="19"/>
      <c r="N1368" s="19"/>
      <c r="O1368" s="19"/>
      <c r="P1368" s="19"/>
      <c r="Q1368" s="19"/>
      <c r="R1368" s="19"/>
    </row>
    <row r="1369" spans="13:18">
      <c r="M1369" s="19"/>
      <c r="N1369" s="19"/>
      <c r="O1369" s="19"/>
      <c r="P1369" s="19"/>
      <c r="Q1369" s="19"/>
      <c r="R1369" s="19"/>
    </row>
    <row r="1370" spans="13:18">
      <c r="M1370" s="19"/>
      <c r="N1370" s="19"/>
      <c r="O1370" s="19"/>
      <c r="P1370" s="19"/>
      <c r="Q1370" s="19"/>
      <c r="R1370" s="19"/>
    </row>
    <row r="1371" spans="13:18">
      <c r="M1371" s="19"/>
      <c r="N1371" s="19"/>
      <c r="O1371" s="19"/>
      <c r="P1371" s="19"/>
      <c r="Q1371" s="19"/>
      <c r="R1371" s="19"/>
    </row>
    <row r="1372" spans="13:18">
      <c r="M1372" s="19"/>
      <c r="N1372" s="19"/>
      <c r="O1372" s="19"/>
      <c r="P1372" s="19"/>
      <c r="Q1372" s="19"/>
      <c r="R1372" s="19"/>
    </row>
    <row r="1373" spans="13:18">
      <c r="M1373" s="19"/>
      <c r="N1373" s="19"/>
      <c r="O1373" s="19"/>
      <c r="P1373" s="19"/>
      <c r="Q1373" s="19"/>
      <c r="R1373" s="19"/>
    </row>
    <row r="1374" spans="13:18">
      <c r="M1374" s="19"/>
      <c r="N1374" s="19"/>
      <c r="O1374" s="19"/>
      <c r="P1374" s="19"/>
      <c r="Q1374" s="19"/>
      <c r="R1374" s="19"/>
    </row>
    <row r="1375" spans="13:18">
      <c r="M1375" s="19"/>
      <c r="N1375" s="19"/>
      <c r="O1375" s="19"/>
      <c r="P1375" s="19"/>
      <c r="Q1375" s="19"/>
      <c r="R1375" s="19"/>
    </row>
    <row r="1376" spans="13:18">
      <c r="M1376" s="19"/>
      <c r="N1376" s="19"/>
      <c r="O1376" s="19"/>
      <c r="P1376" s="19"/>
      <c r="Q1376" s="19"/>
      <c r="R1376" s="19"/>
    </row>
    <row r="1377" spans="13:18">
      <c r="M1377" s="19"/>
      <c r="N1377" s="19"/>
      <c r="O1377" s="19"/>
      <c r="P1377" s="19"/>
      <c r="Q1377" s="19"/>
      <c r="R1377" s="19"/>
    </row>
    <row r="1378" spans="13:18">
      <c r="M1378" s="19"/>
      <c r="N1378" s="19"/>
      <c r="O1378" s="19"/>
      <c r="P1378" s="19"/>
      <c r="Q1378" s="19"/>
      <c r="R1378" s="19"/>
    </row>
    <row r="1379" spans="13:18">
      <c r="M1379" s="19"/>
      <c r="N1379" s="19"/>
      <c r="O1379" s="19"/>
      <c r="P1379" s="19"/>
      <c r="Q1379" s="19"/>
      <c r="R1379" s="19"/>
    </row>
    <row r="1380" spans="13:18">
      <c r="M1380" s="19"/>
      <c r="N1380" s="19"/>
      <c r="O1380" s="19"/>
      <c r="P1380" s="19"/>
      <c r="Q1380" s="19"/>
      <c r="R1380" s="19"/>
    </row>
    <row r="1381" spans="13:18">
      <c r="M1381" s="19"/>
      <c r="N1381" s="19"/>
      <c r="O1381" s="19"/>
      <c r="P1381" s="19"/>
      <c r="Q1381" s="19"/>
      <c r="R1381" s="19"/>
    </row>
    <row r="1382" spans="13:18">
      <c r="M1382" s="19"/>
      <c r="N1382" s="19"/>
      <c r="O1382" s="19"/>
      <c r="P1382" s="19"/>
      <c r="Q1382" s="19"/>
      <c r="R1382" s="19"/>
    </row>
    <row r="1383" spans="13:18">
      <c r="M1383" s="19"/>
      <c r="N1383" s="19"/>
      <c r="O1383" s="19"/>
      <c r="P1383" s="19"/>
      <c r="Q1383" s="19"/>
      <c r="R1383" s="19"/>
    </row>
    <row r="1384" spans="13:18">
      <c r="M1384" s="19"/>
      <c r="N1384" s="19"/>
      <c r="O1384" s="19"/>
      <c r="P1384" s="19"/>
      <c r="Q1384" s="19"/>
      <c r="R1384" s="19"/>
    </row>
    <row r="1385" spans="13:18">
      <c r="M1385" s="19"/>
      <c r="N1385" s="19"/>
      <c r="O1385" s="19"/>
      <c r="P1385" s="19"/>
      <c r="Q1385" s="19"/>
      <c r="R1385" s="19"/>
    </row>
    <row r="1386" spans="13:18">
      <c r="M1386" s="19"/>
      <c r="N1386" s="19"/>
      <c r="O1386" s="19"/>
      <c r="P1386" s="19"/>
      <c r="Q1386" s="19"/>
      <c r="R1386" s="19"/>
    </row>
    <row r="1387" spans="13:18">
      <c r="M1387" s="19"/>
      <c r="N1387" s="19"/>
      <c r="O1387" s="19"/>
      <c r="P1387" s="19"/>
      <c r="Q1387" s="19"/>
      <c r="R1387" s="19"/>
    </row>
    <row r="1388" spans="13:18">
      <c r="M1388" s="19"/>
      <c r="N1388" s="19"/>
      <c r="O1388" s="19"/>
      <c r="P1388" s="19"/>
      <c r="Q1388" s="19"/>
      <c r="R1388" s="19"/>
    </row>
    <row r="1389" spans="13:18">
      <c r="M1389" s="19"/>
      <c r="N1389" s="19"/>
      <c r="O1389" s="19"/>
      <c r="P1389" s="19"/>
      <c r="Q1389" s="19"/>
      <c r="R1389" s="19"/>
    </row>
    <row r="1390" spans="13:18">
      <c r="M1390" s="19"/>
      <c r="N1390" s="19"/>
      <c r="O1390" s="19"/>
      <c r="P1390" s="19"/>
      <c r="Q1390" s="19"/>
      <c r="R1390" s="19"/>
    </row>
    <row r="1391" spans="13:18">
      <c r="M1391" s="19"/>
      <c r="N1391" s="19"/>
      <c r="O1391" s="19"/>
      <c r="P1391" s="19"/>
      <c r="Q1391" s="19"/>
      <c r="R1391" s="19"/>
    </row>
    <row r="1392" spans="13:18">
      <c r="M1392" s="19"/>
      <c r="N1392" s="19"/>
      <c r="O1392" s="19"/>
      <c r="P1392" s="19"/>
      <c r="Q1392" s="19"/>
      <c r="R1392" s="19"/>
    </row>
    <row r="1393" spans="13:18">
      <c r="M1393" s="19"/>
      <c r="N1393" s="19"/>
      <c r="O1393" s="19"/>
      <c r="P1393" s="19"/>
      <c r="Q1393" s="19"/>
      <c r="R1393" s="19"/>
    </row>
    <row r="1394" spans="13:18">
      <c r="M1394" s="19"/>
      <c r="N1394" s="19"/>
      <c r="O1394" s="19"/>
      <c r="P1394" s="19"/>
      <c r="Q1394" s="19"/>
      <c r="R1394" s="19"/>
    </row>
    <row r="1395" spans="13:18">
      <c r="M1395" s="19"/>
      <c r="N1395" s="19"/>
      <c r="O1395" s="19"/>
      <c r="P1395" s="19"/>
      <c r="Q1395" s="19"/>
      <c r="R1395" s="19"/>
    </row>
    <row r="1396" spans="13:18">
      <c r="M1396" s="19"/>
      <c r="N1396" s="19"/>
      <c r="O1396" s="19"/>
      <c r="P1396" s="19"/>
      <c r="Q1396" s="19"/>
      <c r="R1396" s="19"/>
    </row>
    <row r="1397" spans="13:18">
      <c r="M1397" s="19"/>
      <c r="N1397" s="19"/>
      <c r="O1397" s="19"/>
      <c r="P1397" s="19"/>
      <c r="Q1397" s="19"/>
      <c r="R1397" s="19"/>
    </row>
    <row r="1398" spans="13:18">
      <c r="M1398" s="19"/>
      <c r="N1398" s="19"/>
      <c r="O1398" s="19"/>
      <c r="P1398" s="19"/>
      <c r="Q1398" s="19"/>
      <c r="R1398" s="19"/>
    </row>
    <row r="1399" spans="13:18">
      <c r="M1399" s="19"/>
      <c r="N1399" s="19"/>
      <c r="O1399" s="19"/>
      <c r="P1399" s="19"/>
      <c r="Q1399" s="19"/>
      <c r="R1399" s="19"/>
    </row>
    <row r="1400" spans="13:18">
      <c r="M1400" s="19"/>
      <c r="N1400" s="19"/>
      <c r="O1400" s="19"/>
      <c r="P1400" s="19"/>
      <c r="Q1400" s="19"/>
      <c r="R1400" s="19"/>
    </row>
    <row r="1401" spans="13:18">
      <c r="M1401" s="19"/>
      <c r="N1401" s="19"/>
      <c r="O1401" s="19"/>
      <c r="P1401" s="19"/>
      <c r="Q1401" s="19"/>
      <c r="R1401" s="19"/>
    </row>
    <row r="1402" spans="13:18">
      <c r="M1402" s="19"/>
      <c r="N1402" s="19"/>
      <c r="O1402" s="19"/>
      <c r="P1402" s="19"/>
      <c r="Q1402" s="19"/>
      <c r="R1402" s="19"/>
    </row>
    <row r="1403" spans="13:18">
      <c r="M1403" s="19"/>
      <c r="N1403" s="19"/>
      <c r="O1403" s="19"/>
      <c r="P1403" s="19"/>
      <c r="Q1403" s="19"/>
      <c r="R1403" s="19"/>
    </row>
    <row r="1404" spans="13:18">
      <c r="M1404" s="19"/>
      <c r="N1404" s="19"/>
      <c r="O1404" s="19"/>
      <c r="P1404" s="19"/>
      <c r="Q1404" s="19"/>
      <c r="R1404" s="19"/>
    </row>
    <row r="1405" spans="13:18">
      <c r="M1405" s="19"/>
      <c r="N1405" s="19"/>
      <c r="O1405" s="19"/>
      <c r="P1405" s="19"/>
      <c r="Q1405" s="19"/>
      <c r="R1405" s="19"/>
    </row>
    <row r="1406" spans="13:18">
      <c r="M1406" s="19"/>
      <c r="N1406" s="19"/>
      <c r="O1406" s="19"/>
      <c r="P1406" s="19"/>
      <c r="Q1406" s="19"/>
      <c r="R1406" s="19"/>
    </row>
    <row r="1407" spans="13:18">
      <c r="M1407" s="19"/>
      <c r="N1407" s="19"/>
      <c r="O1407" s="19"/>
      <c r="P1407" s="19"/>
      <c r="Q1407" s="19"/>
      <c r="R1407" s="19"/>
    </row>
    <row r="1408" spans="13:18">
      <c r="M1408" s="19"/>
      <c r="N1408" s="19"/>
      <c r="O1408" s="19"/>
      <c r="P1408" s="19"/>
      <c r="Q1408" s="19"/>
      <c r="R1408" s="19"/>
    </row>
    <row r="1409" spans="13:18">
      <c r="M1409" s="19"/>
      <c r="N1409" s="19"/>
      <c r="O1409" s="19"/>
      <c r="P1409" s="19"/>
      <c r="Q1409" s="19"/>
      <c r="R1409" s="19"/>
    </row>
    <row r="1410" spans="13:18">
      <c r="M1410" s="19"/>
      <c r="N1410" s="19"/>
      <c r="O1410" s="19"/>
      <c r="P1410" s="19"/>
      <c r="Q1410" s="19"/>
      <c r="R1410" s="19"/>
    </row>
    <row r="1411" spans="13:18">
      <c r="M1411" s="19"/>
      <c r="N1411" s="19"/>
      <c r="O1411" s="19"/>
      <c r="P1411" s="19"/>
      <c r="Q1411" s="19"/>
      <c r="R1411" s="19"/>
    </row>
    <row r="1412" spans="13:18">
      <c r="M1412" s="19"/>
      <c r="N1412" s="19"/>
      <c r="O1412" s="19"/>
      <c r="P1412" s="19"/>
      <c r="Q1412" s="19"/>
      <c r="R1412" s="19"/>
    </row>
    <row r="1413" spans="13:18">
      <c r="M1413" s="19"/>
      <c r="N1413" s="19"/>
      <c r="O1413" s="19"/>
      <c r="P1413" s="19"/>
      <c r="Q1413" s="19"/>
      <c r="R1413" s="19"/>
    </row>
    <row r="1414" spans="13:18">
      <c r="M1414" s="19"/>
      <c r="N1414" s="19"/>
      <c r="O1414" s="19"/>
      <c r="P1414" s="19"/>
      <c r="Q1414" s="19"/>
      <c r="R1414" s="19"/>
    </row>
    <row r="1415" spans="13:18">
      <c r="M1415" s="19"/>
      <c r="N1415" s="19"/>
      <c r="O1415" s="19"/>
      <c r="P1415" s="19"/>
      <c r="Q1415" s="19"/>
      <c r="R1415" s="19"/>
    </row>
    <row r="1416" spans="13:18">
      <c r="M1416" s="19"/>
      <c r="N1416" s="19"/>
      <c r="O1416" s="19"/>
      <c r="P1416" s="19"/>
      <c r="Q1416" s="19"/>
      <c r="R1416" s="19"/>
    </row>
    <row r="1417" spans="13:18">
      <c r="M1417" s="19"/>
      <c r="N1417" s="19"/>
      <c r="O1417" s="19"/>
      <c r="P1417" s="19"/>
      <c r="Q1417" s="19"/>
      <c r="R1417" s="19"/>
    </row>
    <row r="1418" spans="13:18">
      <c r="M1418" s="19"/>
      <c r="N1418" s="19"/>
      <c r="O1418" s="19"/>
      <c r="P1418" s="19"/>
      <c r="Q1418" s="19"/>
      <c r="R1418" s="19"/>
    </row>
    <row r="1419" spans="13:18">
      <c r="M1419" s="19"/>
      <c r="N1419" s="19"/>
      <c r="O1419" s="19"/>
      <c r="P1419" s="19"/>
      <c r="Q1419" s="19"/>
      <c r="R1419" s="19"/>
    </row>
    <row r="1420" spans="13:18">
      <c r="M1420" s="19"/>
      <c r="N1420" s="19"/>
      <c r="O1420" s="19"/>
      <c r="P1420" s="19"/>
      <c r="Q1420" s="19"/>
      <c r="R1420" s="19"/>
    </row>
    <row r="1421" spans="13:18">
      <c r="M1421" s="19"/>
      <c r="N1421" s="19"/>
      <c r="O1421" s="19"/>
      <c r="P1421" s="19"/>
      <c r="Q1421" s="19"/>
      <c r="R1421" s="19"/>
    </row>
    <row r="1422" spans="13:18">
      <c r="M1422" s="19"/>
      <c r="N1422" s="19"/>
      <c r="O1422" s="19"/>
      <c r="P1422" s="19"/>
      <c r="Q1422" s="19"/>
      <c r="R1422" s="19"/>
    </row>
    <row r="1423" spans="13:18">
      <c r="M1423" s="19"/>
      <c r="N1423" s="19"/>
      <c r="O1423" s="19"/>
      <c r="P1423" s="19"/>
      <c r="Q1423" s="19"/>
      <c r="R1423" s="19"/>
    </row>
    <row r="1424" spans="13:18">
      <c r="M1424" s="19"/>
      <c r="N1424" s="19"/>
      <c r="O1424" s="19"/>
      <c r="P1424" s="19"/>
      <c r="Q1424" s="19"/>
      <c r="R1424" s="19"/>
    </row>
    <row r="1425" spans="13:18">
      <c r="M1425" s="19"/>
      <c r="N1425" s="19"/>
      <c r="O1425" s="19"/>
      <c r="P1425" s="19"/>
      <c r="Q1425" s="19"/>
      <c r="R1425" s="19"/>
    </row>
    <row r="1426" spans="13:18">
      <c r="M1426" s="19"/>
      <c r="N1426" s="19"/>
      <c r="O1426" s="19"/>
      <c r="P1426" s="19"/>
      <c r="Q1426" s="19"/>
      <c r="R1426" s="19"/>
    </row>
    <row r="1427" spans="13:18">
      <c r="M1427" s="19"/>
      <c r="N1427" s="19"/>
      <c r="O1427" s="19"/>
      <c r="P1427" s="19"/>
      <c r="Q1427" s="19"/>
      <c r="R1427" s="19"/>
    </row>
    <row r="1428" spans="13:18">
      <c r="M1428" s="19"/>
      <c r="N1428" s="19"/>
      <c r="O1428" s="19"/>
      <c r="P1428" s="19"/>
      <c r="Q1428" s="19"/>
      <c r="R1428" s="19"/>
    </row>
    <row r="1429" spans="13:18">
      <c r="M1429" s="19"/>
      <c r="N1429" s="19"/>
      <c r="O1429" s="19"/>
      <c r="P1429" s="19"/>
      <c r="Q1429" s="19"/>
      <c r="R1429" s="19"/>
    </row>
    <row r="1430" spans="13:18">
      <c r="M1430" s="19"/>
      <c r="N1430" s="19"/>
      <c r="O1430" s="19"/>
      <c r="P1430" s="19"/>
      <c r="Q1430" s="19"/>
      <c r="R1430" s="19"/>
    </row>
    <row r="1431" spans="13:18">
      <c r="M1431" s="19"/>
      <c r="N1431" s="19"/>
      <c r="O1431" s="19"/>
      <c r="P1431" s="19"/>
      <c r="Q1431" s="19"/>
      <c r="R1431" s="19"/>
    </row>
    <row r="1432" spans="13:18">
      <c r="M1432" s="19"/>
      <c r="N1432" s="19"/>
      <c r="O1432" s="19"/>
      <c r="P1432" s="19"/>
      <c r="Q1432" s="19"/>
      <c r="R1432" s="19"/>
    </row>
    <row r="1433" spans="13:18">
      <c r="M1433" s="19"/>
      <c r="N1433" s="19"/>
      <c r="O1433" s="19"/>
      <c r="P1433" s="19"/>
      <c r="Q1433" s="19"/>
      <c r="R1433" s="19"/>
    </row>
    <row r="1434" spans="13:18">
      <c r="M1434" s="19"/>
      <c r="N1434" s="19"/>
      <c r="O1434" s="19"/>
      <c r="P1434" s="19"/>
      <c r="Q1434" s="19"/>
      <c r="R1434" s="19"/>
    </row>
    <row r="1435" spans="13:18">
      <c r="M1435" s="19"/>
      <c r="N1435" s="19"/>
      <c r="O1435" s="19"/>
      <c r="P1435" s="19"/>
      <c r="Q1435" s="19"/>
      <c r="R1435" s="19"/>
    </row>
    <row r="1436" spans="13:18">
      <c r="M1436" s="19"/>
      <c r="N1436" s="19"/>
      <c r="O1436" s="19"/>
      <c r="P1436" s="19"/>
      <c r="Q1436" s="19"/>
      <c r="R1436" s="19"/>
    </row>
    <row r="1437" spans="13:18">
      <c r="M1437" s="19"/>
      <c r="N1437" s="19"/>
      <c r="O1437" s="19"/>
      <c r="P1437" s="19"/>
      <c r="Q1437" s="19"/>
      <c r="R1437" s="19"/>
    </row>
    <row r="1438" spans="13:18">
      <c r="M1438" s="19"/>
      <c r="N1438" s="19"/>
      <c r="O1438" s="19"/>
      <c r="P1438" s="19"/>
      <c r="Q1438" s="19"/>
      <c r="R1438" s="19"/>
    </row>
    <row r="1439" spans="13:18">
      <c r="M1439" s="19"/>
      <c r="N1439" s="19"/>
      <c r="O1439" s="19"/>
      <c r="P1439" s="19"/>
      <c r="Q1439" s="19"/>
      <c r="R1439" s="19"/>
    </row>
    <row r="1440" spans="13:18">
      <c r="M1440" s="19"/>
      <c r="N1440" s="19"/>
      <c r="O1440" s="19"/>
      <c r="P1440" s="19"/>
      <c r="Q1440" s="19"/>
      <c r="R1440" s="19"/>
    </row>
    <row r="1441" spans="13:18">
      <c r="M1441" s="19"/>
      <c r="N1441" s="19"/>
      <c r="O1441" s="19"/>
      <c r="P1441" s="19"/>
      <c r="Q1441" s="19"/>
      <c r="R1441" s="19"/>
    </row>
    <row r="1442" spans="13:18">
      <c r="M1442" s="19"/>
      <c r="N1442" s="19"/>
      <c r="O1442" s="19"/>
      <c r="P1442" s="19"/>
      <c r="Q1442" s="19"/>
      <c r="R1442" s="19"/>
    </row>
    <row r="1443" spans="13:18">
      <c r="M1443" s="19"/>
      <c r="N1443" s="19"/>
      <c r="O1443" s="19"/>
      <c r="P1443" s="19"/>
      <c r="Q1443" s="19"/>
      <c r="R1443" s="19"/>
    </row>
    <row r="1444" spans="13:18">
      <c r="M1444" s="19"/>
      <c r="N1444" s="19"/>
      <c r="O1444" s="19"/>
      <c r="P1444" s="19"/>
      <c r="Q1444" s="19"/>
      <c r="R1444" s="19"/>
    </row>
    <row r="1445" spans="13:18">
      <c r="M1445" s="19"/>
      <c r="N1445" s="19"/>
      <c r="O1445" s="19"/>
      <c r="P1445" s="19"/>
      <c r="Q1445" s="19"/>
      <c r="R1445" s="19"/>
    </row>
    <row r="1446" spans="13:18">
      <c r="M1446" s="19"/>
      <c r="N1446" s="19"/>
      <c r="O1446" s="19"/>
      <c r="P1446" s="19"/>
      <c r="Q1446" s="19"/>
      <c r="R1446" s="19"/>
    </row>
    <row r="1447" spans="13:18">
      <c r="M1447" s="19"/>
      <c r="N1447" s="19"/>
      <c r="O1447" s="19"/>
      <c r="P1447" s="19"/>
      <c r="Q1447" s="19"/>
      <c r="R1447" s="19"/>
    </row>
    <row r="1448" spans="13:18">
      <c r="M1448" s="19"/>
      <c r="N1448" s="19"/>
      <c r="O1448" s="19"/>
      <c r="P1448" s="19"/>
      <c r="Q1448" s="19"/>
      <c r="R1448" s="19"/>
    </row>
    <row r="1449" spans="13:18">
      <c r="M1449" s="19"/>
      <c r="N1449" s="19"/>
      <c r="O1449" s="19"/>
      <c r="P1449" s="19"/>
      <c r="Q1449" s="19"/>
      <c r="R1449" s="19"/>
    </row>
    <row r="1450" spans="13:18">
      <c r="M1450" s="19"/>
      <c r="N1450" s="19"/>
      <c r="O1450" s="19"/>
      <c r="P1450" s="19"/>
      <c r="Q1450" s="19"/>
      <c r="R1450" s="19"/>
    </row>
    <row r="1451" spans="13:18">
      <c r="M1451" s="19"/>
      <c r="N1451" s="19"/>
      <c r="O1451" s="19"/>
      <c r="P1451" s="19"/>
      <c r="Q1451" s="19"/>
      <c r="R1451" s="19"/>
    </row>
    <row r="1452" spans="13:18">
      <c r="M1452" s="19"/>
      <c r="N1452" s="19"/>
      <c r="O1452" s="19"/>
      <c r="P1452" s="19"/>
      <c r="Q1452" s="19"/>
      <c r="R1452" s="19"/>
    </row>
    <row r="1453" spans="13:18">
      <c r="M1453" s="19"/>
      <c r="N1453" s="19"/>
      <c r="O1453" s="19"/>
      <c r="P1453" s="19"/>
      <c r="Q1453" s="19"/>
      <c r="R1453" s="19"/>
    </row>
    <row r="1454" spans="13:18">
      <c r="M1454" s="19"/>
      <c r="N1454" s="19"/>
      <c r="O1454" s="19"/>
      <c r="P1454" s="19"/>
      <c r="Q1454" s="19"/>
      <c r="R1454" s="19"/>
    </row>
    <row r="1455" spans="13:18">
      <c r="M1455" s="19"/>
      <c r="N1455" s="19"/>
      <c r="O1455" s="19"/>
      <c r="P1455" s="19"/>
      <c r="Q1455" s="19"/>
      <c r="R1455" s="19"/>
    </row>
    <row r="1456" spans="13:18">
      <c r="M1456" s="19"/>
      <c r="N1456" s="19"/>
      <c r="O1456" s="19"/>
      <c r="P1456" s="19"/>
      <c r="Q1456" s="19"/>
      <c r="R1456" s="19"/>
    </row>
    <row r="1457" spans="13:18">
      <c r="M1457" s="19"/>
      <c r="N1457" s="19"/>
      <c r="O1457" s="19"/>
      <c r="P1457" s="19"/>
      <c r="Q1457" s="19"/>
      <c r="R1457" s="19"/>
    </row>
    <row r="1458" spans="13:18">
      <c r="M1458" s="19"/>
      <c r="N1458" s="19"/>
      <c r="O1458" s="19"/>
      <c r="P1458" s="19"/>
      <c r="Q1458" s="19"/>
      <c r="R1458" s="19"/>
    </row>
    <row r="1459" spans="13:18">
      <c r="M1459" s="19"/>
      <c r="N1459" s="19"/>
      <c r="O1459" s="19"/>
      <c r="P1459" s="19"/>
      <c r="Q1459" s="19"/>
      <c r="R1459" s="19"/>
    </row>
    <row r="1460" spans="13:18">
      <c r="M1460" s="19"/>
      <c r="N1460" s="19"/>
      <c r="O1460" s="19"/>
      <c r="P1460" s="19"/>
      <c r="Q1460" s="19"/>
      <c r="R1460" s="19"/>
    </row>
    <row r="1461" spans="13:18">
      <c r="M1461" s="19"/>
      <c r="N1461" s="19"/>
      <c r="O1461" s="19"/>
      <c r="P1461" s="19"/>
      <c r="Q1461" s="19"/>
      <c r="R1461" s="19"/>
    </row>
    <row r="1462" spans="13:18">
      <c r="M1462" s="19"/>
      <c r="N1462" s="19"/>
      <c r="O1462" s="19"/>
      <c r="P1462" s="19"/>
      <c r="Q1462" s="19"/>
      <c r="R1462" s="19"/>
    </row>
    <row r="1463" spans="13:18">
      <c r="M1463" s="19"/>
      <c r="N1463" s="19"/>
      <c r="O1463" s="19"/>
      <c r="P1463" s="19"/>
      <c r="Q1463" s="19"/>
      <c r="R1463" s="19"/>
    </row>
    <row r="1464" spans="13:18">
      <c r="M1464" s="19"/>
      <c r="N1464" s="19"/>
      <c r="O1464" s="19"/>
      <c r="P1464" s="19"/>
      <c r="Q1464" s="19"/>
      <c r="R1464" s="19"/>
    </row>
    <row r="1465" spans="13:18">
      <c r="M1465" s="19"/>
      <c r="N1465" s="19"/>
      <c r="O1465" s="19"/>
      <c r="P1465" s="19"/>
      <c r="Q1465" s="19"/>
      <c r="R1465" s="19"/>
    </row>
    <row r="1466" spans="13:18">
      <c r="M1466" s="19"/>
      <c r="N1466" s="19"/>
      <c r="O1466" s="19"/>
      <c r="P1466" s="19"/>
      <c r="Q1466" s="19"/>
      <c r="R1466" s="19"/>
    </row>
    <row r="1467" spans="13:18">
      <c r="M1467" s="19"/>
      <c r="N1467" s="19"/>
      <c r="O1467" s="19"/>
      <c r="P1467" s="19"/>
      <c r="Q1467" s="19"/>
      <c r="R1467" s="19"/>
    </row>
    <row r="1468" spans="13:18">
      <c r="M1468" s="19"/>
      <c r="N1468" s="19"/>
      <c r="O1468" s="19"/>
      <c r="P1468" s="19"/>
      <c r="Q1468" s="19"/>
      <c r="R1468" s="19"/>
    </row>
    <row r="1469" spans="13:18">
      <c r="M1469" s="19"/>
      <c r="N1469" s="19"/>
      <c r="O1469" s="19"/>
      <c r="P1469" s="19"/>
      <c r="Q1469" s="19"/>
      <c r="R1469" s="19"/>
    </row>
    <row r="1470" spans="13:18">
      <c r="M1470" s="19"/>
      <c r="N1470" s="19"/>
      <c r="O1470" s="19"/>
      <c r="P1470" s="19"/>
      <c r="Q1470" s="19"/>
      <c r="R1470" s="19"/>
    </row>
    <row r="1471" spans="13:18">
      <c r="M1471" s="19"/>
      <c r="N1471" s="19"/>
      <c r="O1471" s="19"/>
      <c r="P1471" s="19"/>
      <c r="Q1471" s="19"/>
      <c r="R1471" s="19"/>
    </row>
    <row r="1472" spans="13:18">
      <c r="M1472" s="19"/>
      <c r="N1472" s="19"/>
      <c r="O1472" s="19"/>
      <c r="P1472" s="19"/>
      <c r="Q1472" s="19"/>
      <c r="R1472" s="19"/>
    </row>
    <row r="1473" spans="13:18">
      <c r="M1473" s="19"/>
      <c r="N1473" s="19"/>
      <c r="O1473" s="19"/>
      <c r="P1473" s="19"/>
      <c r="Q1473" s="19"/>
      <c r="R1473" s="19"/>
    </row>
    <row r="1474" spans="13:18">
      <c r="M1474" s="19"/>
      <c r="N1474" s="19"/>
      <c r="O1474" s="19"/>
      <c r="P1474" s="19"/>
      <c r="Q1474" s="19"/>
      <c r="R1474" s="19"/>
    </row>
    <row r="1475" spans="13:18">
      <c r="M1475" s="19"/>
      <c r="N1475" s="19"/>
      <c r="O1475" s="19"/>
      <c r="P1475" s="19"/>
      <c r="Q1475" s="19"/>
      <c r="R1475" s="19"/>
    </row>
    <row r="1476" spans="13:18">
      <c r="M1476" s="19"/>
      <c r="N1476" s="19"/>
      <c r="O1476" s="19"/>
      <c r="P1476" s="19"/>
      <c r="Q1476" s="19"/>
      <c r="R1476" s="19"/>
    </row>
    <row r="1477" spans="13:18">
      <c r="M1477" s="19"/>
      <c r="N1477" s="19"/>
      <c r="O1477" s="19"/>
      <c r="P1477" s="19"/>
      <c r="Q1477" s="19"/>
      <c r="R1477" s="19"/>
    </row>
    <row r="1478" spans="13:18">
      <c r="M1478" s="19"/>
      <c r="N1478" s="19"/>
      <c r="O1478" s="19"/>
      <c r="P1478" s="19"/>
      <c r="Q1478" s="19"/>
      <c r="R1478" s="19"/>
    </row>
    <row r="1479" spans="13:18">
      <c r="M1479" s="19"/>
      <c r="N1479" s="19"/>
      <c r="O1479" s="19"/>
      <c r="P1479" s="19"/>
      <c r="Q1479" s="19"/>
      <c r="R1479" s="19"/>
    </row>
    <row r="1480" spans="13:18">
      <c r="M1480" s="19"/>
      <c r="N1480" s="19"/>
      <c r="O1480" s="19"/>
      <c r="P1480" s="19"/>
      <c r="Q1480" s="19"/>
      <c r="R1480" s="19"/>
    </row>
    <row r="1481" spans="13:18">
      <c r="M1481" s="19"/>
      <c r="N1481" s="19"/>
      <c r="O1481" s="19"/>
      <c r="P1481" s="19"/>
      <c r="Q1481" s="19"/>
      <c r="R1481" s="19"/>
    </row>
    <row r="1482" spans="13:18">
      <c r="M1482" s="19"/>
      <c r="N1482" s="19"/>
      <c r="O1482" s="19"/>
      <c r="P1482" s="19"/>
      <c r="Q1482" s="19"/>
      <c r="R1482" s="19"/>
    </row>
    <row r="1483" spans="13:18">
      <c r="M1483" s="19"/>
      <c r="N1483" s="19"/>
      <c r="O1483" s="19"/>
      <c r="P1483" s="19"/>
      <c r="Q1483" s="19"/>
      <c r="R1483" s="19"/>
    </row>
    <row r="1484" spans="13:18">
      <c r="M1484" s="19"/>
      <c r="N1484" s="19"/>
      <c r="O1484" s="19"/>
      <c r="P1484" s="19"/>
      <c r="Q1484" s="19"/>
      <c r="R1484" s="19"/>
    </row>
    <row r="1485" spans="13:18">
      <c r="M1485" s="19"/>
      <c r="N1485" s="19"/>
      <c r="O1485" s="19"/>
      <c r="P1485" s="19"/>
      <c r="Q1485" s="19"/>
      <c r="R1485" s="19"/>
    </row>
    <row r="1486" spans="13:18">
      <c r="M1486" s="19"/>
      <c r="N1486" s="19"/>
      <c r="O1486" s="19"/>
      <c r="P1486" s="19"/>
      <c r="Q1486" s="19"/>
      <c r="R1486" s="19"/>
    </row>
    <row r="1487" spans="13:18">
      <c r="M1487" s="19"/>
      <c r="N1487" s="19"/>
      <c r="O1487" s="19"/>
      <c r="P1487" s="19"/>
      <c r="Q1487" s="19"/>
      <c r="R1487" s="19"/>
    </row>
    <row r="1488" spans="13:18">
      <c r="M1488" s="19"/>
      <c r="N1488" s="19"/>
      <c r="O1488" s="19"/>
      <c r="P1488" s="19"/>
      <c r="Q1488" s="19"/>
      <c r="R1488" s="19"/>
    </row>
    <row r="1489" spans="13:18">
      <c r="M1489" s="19"/>
      <c r="N1489" s="19"/>
      <c r="O1489" s="19"/>
      <c r="P1489" s="19"/>
      <c r="Q1489" s="19"/>
      <c r="R1489" s="19"/>
    </row>
    <row r="1490" spans="13:18">
      <c r="M1490" s="19"/>
      <c r="N1490" s="19"/>
      <c r="O1490" s="19"/>
      <c r="P1490" s="19"/>
      <c r="Q1490" s="19"/>
      <c r="R1490" s="19"/>
    </row>
    <row r="1491" spans="13:18">
      <c r="M1491" s="19"/>
      <c r="N1491" s="19"/>
      <c r="O1491" s="19"/>
      <c r="P1491" s="19"/>
      <c r="Q1491" s="19"/>
      <c r="R1491" s="19"/>
    </row>
    <row r="1492" spans="13:18">
      <c r="M1492" s="19"/>
      <c r="N1492" s="19"/>
      <c r="O1492" s="19"/>
      <c r="P1492" s="19"/>
      <c r="Q1492" s="19"/>
      <c r="R1492" s="19"/>
    </row>
    <row r="1493" spans="13:18">
      <c r="M1493" s="19"/>
      <c r="N1493" s="19"/>
      <c r="O1493" s="19"/>
      <c r="P1493" s="19"/>
      <c r="Q1493" s="19"/>
      <c r="R1493" s="19"/>
    </row>
    <row r="1494" spans="13:18">
      <c r="M1494" s="19"/>
      <c r="N1494" s="19"/>
      <c r="O1494" s="19"/>
      <c r="P1494" s="19"/>
      <c r="Q1494" s="19"/>
      <c r="R1494" s="19"/>
    </row>
    <row r="1495" spans="13:18">
      <c r="M1495" s="19"/>
      <c r="N1495" s="19"/>
      <c r="O1495" s="19"/>
      <c r="P1495" s="19"/>
      <c r="Q1495" s="19"/>
      <c r="R1495" s="19"/>
    </row>
    <row r="1496" spans="13:18">
      <c r="M1496" s="19"/>
      <c r="N1496" s="19"/>
      <c r="O1496" s="19"/>
      <c r="P1496" s="19"/>
      <c r="Q1496" s="19"/>
      <c r="R1496" s="19"/>
    </row>
    <row r="1497" spans="13:18">
      <c r="M1497" s="19"/>
      <c r="N1497" s="19"/>
      <c r="O1497" s="19"/>
      <c r="P1497" s="19"/>
      <c r="Q1497" s="19"/>
      <c r="R1497" s="19"/>
    </row>
    <row r="1498" spans="13:18">
      <c r="M1498" s="19"/>
      <c r="N1498" s="19"/>
      <c r="O1498" s="19"/>
      <c r="P1498" s="19"/>
      <c r="Q1498" s="19"/>
      <c r="R1498" s="19"/>
    </row>
    <row r="1499" spans="13:18">
      <c r="M1499" s="19"/>
      <c r="N1499" s="19"/>
      <c r="O1499" s="19"/>
      <c r="P1499" s="19"/>
      <c r="Q1499" s="19"/>
      <c r="R1499" s="19"/>
    </row>
    <row r="1500" spans="13:18">
      <c r="M1500" s="19"/>
      <c r="N1500" s="19"/>
      <c r="O1500" s="19"/>
      <c r="P1500" s="19"/>
      <c r="Q1500" s="19"/>
      <c r="R1500" s="19"/>
    </row>
    <row r="1501" spans="13:18">
      <c r="M1501" s="19"/>
      <c r="N1501" s="19"/>
      <c r="O1501" s="19"/>
      <c r="P1501" s="19"/>
      <c r="Q1501" s="19"/>
      <c r="R1501" s="19"/>
    </row>
    <row r="1502" spans="13:18">
      <c r="M1502" s="19"/>
      <c r="N1502" s="19"/>
      <c r="O1502" s="19"/>
      <c r="P1502" s="19"/>
      <c r="Q1502" s="19"/>
      <c r="R1502" s="19"/>
    </row>
    <row r="1503" spans="13:18">
      <c r="M1503" s="19"/>
      <c r="N1503" s="19"/>
      <c r="O1503" s="19"/>
      <c r="P1503" s="19"/>
      <c r="Q1503" s="19"/>
      <c r="R1503" s="19"/>
    </row>
    <row r="1504" spans="13:18">
      <c r="M1504" s="19"/>
      <c r="N1504" s="19"/>
      <c r="O1504" s="19"/>
      <c r="P1504" s="19"/>
      <c r="Q1504" s="19"/>
      <c r="R1504" s="19"/>
    </row>
    <row r="1505" spans="13:18">
      <c r="M1505" s="19"/>
      <c r="N1505" s="19"/>
      <c r="O1505" s="19"/>
      <c r="P1505" s="19"/>
      <c r="Q1505" s="19"/>
      <c r="R1505" s="19"/>
    </row>
    <row r="1506" spans="13:18">
      <c r="M1506" s="19"/>
      <c r="N1506" s="19"/>
      <c r="O1506" s="19"/>
      <c r="P1506" s="19"/>
      <c r="Q1506" s="19"/>
      <c r="R1506" s="19"/>
    </row>
    <row r="1507" spans="13:18">
      <c r="M1507" s="19"/>
      <c r="N1507" s="19"/>
      <c r="O1507" s="19"/>
      <c r="P1507" s="19"/>
      <c r="Q1507" s="19"/>
      <c r="R1507" s="19"/>
    </row>
    <row r="1508" spans="13:18">
      <c r="M1508" s="19"/>
      <c r="N1508" s="19"/>
      <c r="O1508" s="19"/>
      <c r="P1508" s="19"/>
      <c r="Q1508" s="19"/>
      <c r="R1508" s="19"/>
    </row>
    <row r="1509" spans="13:18">
      <c r="M1509" s="19"/>
      <c r="N1509" s="19"/>
      <c r="O1509" s="19"/>
      <c r="P1509" s="19"/>
      <c r="Q1509" s="19"/>
      <c r="R1509" s="19"/>
    </row>
    <row r="1510" spans="13:18">
      <c r="M1510" s="19"/>
      <c r="N1510" s="19"/>
      <c r="O1510" s="19"/>
      <c r="P1510" s="19"/>
      <c r="Q1510" s="19"/>
      <c r="R1510" s="19"/>
    </row>
    <row r="1511" spans="13:18">
      <c r="M1511" s="19"/>
      <c r="N1511" s="19"/>
      <c r="O1511" s="19"/>
      <c r="P1511" s="19"/>
      <c r="Q1511" s="19"/>
      <c r="R1511" s="19"/>
    </row>
    <row r="1512" spans="13:18">
      <c r="M1512" s="19"/>
      <c r="N1512" s="19"/>
      <c r="O1512" s="19"/>
      <c r="P1512" s="19"/>
      <c r="Q1512" s="19"/>
      <c r="R1512" s="19"/>
    </row>
    <row r="1513" spans="13:18">
      <c r="M1513" s="19"/>
      <c r="N1513" s="19"/>
      <c r="O1513" s="19"/>
      <c r="P1513" s="19"/>
      <c r="Q1513" s="19"/>
      <c r="R1513" s="19"/>
    </row>
    <row r="1514" spans="13:18">
      <c r="M1514" s="19"/>
      <c r="N1514" s="19"/>
      <c r="O1514" s="19"/>
      <c r="P1514" s="19"/>
      <c r="Q1514" s="19"/>
      <c r="R1514" s="19"/>
    </row>
    <row r="1515" spans="13:18">
      <c r="M1515" s="19"/>
      <c r="N1515" s="19"/>
      <c r="O1515" s="19"/>
      <c r="P1515" s="19"/>
      <c r="Q1515" s="19"/>
      <c r="R1515" s="19"/>
    </row>
    <row r="1516" spans="13:18">
      <c r="M1516" s="19"/>
      <c r="N1516" s="19"/>
      <c r="O1516" s="19"/>
      <c r="P1516" s="19"/>
      <c r="Q1516" s="19"/>
      <c r="R1516" s="19"/>
    </row>
    <row r="1517" spans="13:18">
      <c r="M1517" s="19"/>
      <c r="N1517" s="19"/>
      <c r="O1517" s="19"/>
      <c r="P1517" s="19"/>
      <c r="Q1517" s="19"/>
      <c r="R1517" s="19"/>
    </row>
    <row r="1518" spans="13:18">
      <c r="M1518" s="19"/>
      <c r="N1518" s="19"/>
      <c r="O1518" s="19"/>
      <c r="P1518" s="19"/>
      <c r="Q1518" s="19"/>
      <c r="R1518" s="19"/>
    </row>
    <row r="1519" spans="13:18">
      <c r="M1519" s="19"/>
      <c r="N1519" s="19"/>
      <c r="O1519" s="19"/>
      <c r="P1519" s="19"/>
      <c r="Q1519" s="19"/>
      <c r="R1519" s="19"/>
    </row>
    <row r="1520" spans="13:18">
      <c r="M1520" s="19"/>
      <c r="N1520" s="19"/>
      <c r="O1520" s="19"/>
      <c r="P1520" s="19"/>
      <c r="Q1520" s="19"/>
      <c r="R1520" s="19"/>
    </row>
    <row r="1521" spans="13:18">
      <c r="M1521" s="19"/>
      <c r="N1521" s="19"/>
      <c r="O1521" s="19"/>
      <c r="P1521" s="19"/>
      <c r="Q1521" s="19"/>
      <c r="R1521" s="19"/>
    </row>
    <row r="1522" spans="13:18">
      <c r="M1522" s="19"/>
      <c r="N1522" s="19"/>
      <c r="O1522" s="19"/>
      <c r="P1522" s="19"/>
      <c r="Q1522" s="19"/>
      <c r="R1522" s="19"/>
    </row>
    <row r="1523" spans="13:18">
      <c r="M1523" s="19"/>
      <c r="N1523" s="19"/>
      <c r="O1523" s="19"/>
      <c r="P1523" s="19"/>
      <c r="Q1523" s="19"/>
      <c r="R1523" s="19"/>
    </row>
    <row r="1524" spans="13:18">
      <c r="M1524" s="19"/>
      <c r="N1524" s="19"/>
      <c r="O1524" s="19"/>
      <c r="P1524" s="19"/>
      <c r="Q1524" s="19"/>
      <c r="R1524" s="19"/>
    </row>
    <row r="1525" spans="13:18">
      <c r="M1525" s="19"/>
      <c r="N1525" s="19"/>
      <c r="O1525" s="19"/>
      <c r="P1525" s="19"/>
      <c r="Q1525" s="19"/>
      <c r="R1525" s="19"/>
    </row>
    <row r="1526" spans="13:18">
      <c r="M1526" s="19"/>
      <c r="N1526" s="19"/>
      <c r="O1526" s="19"/>
      <c r="P1526" s="19"/>
      <c r="Q1526" s="19"/>
      <c r="R1526" s="19"/>
    </row>
    <row r="1527" spans="13:18">
      <c r="M1527" s="19"/>
      <c r="N1527" s="19"/>
      <c r="O1527" s="19"/>
      <c r="P1527" s="19"/>
      <c r="Q1527" s="19"/>
      <c r="R1527" s="19"/>
    </row>
    <row r="1528" spans="13:18">
      <c r="M1528" s="19"/>
      <c r="N1528" s="19"/>
      <c r="O1528" s="19"/>
      <c r="P1528" s="19"/>
      <c r="Q1528" s="19"/>
      <c r="R1528" s="19"/>
    </row>
    <row r="1529" spans="13:18">
      <c r="M1529" s="19"/>
      <c r="N1529" s="19"/>
      <c r="O1529" s="19"/>
      <c r="P1529" s="19"/>
      <c r="Q1529" s="19"/>
      <c r="R1529" s="19"/>
    </row>
    <row r="1530" spans="13:18">
      <c r="M1530" s="19"/>
      <c r="N1530" s="19"/>
      <c r="O1530" s="19"/>
      <c r="P1530" s="19"/>
      <c r="Q1530" s="19"/>
      <c r="R1530" s="19"/>
    </row>
    <row r="1531" spans="13:18">
      <c r="M1531" s="19"/>
      <c r="N1531" s="19"/>
      <c r="O1531" s="19"/>
      <c r="P1531" s="19"/>
      <c r="Q1531" s="19"/>
      <c r="R1531" s="19"/>
    </row>
    <row r="1532" spans="13:18">
      <c r="M1532" s="19"/>
      <c r="N1532" s="19"/>
      <c r="O1532" s="19"/>
      <c r="P1532" s="19"/>
      <c r="Q1532" s="19"/>
      <c r="R1532" s="19"/>
    </row>
    <row r="1533" spans="13:18">
      <c r="M1533" s="19"/>
      <c r="N1533" s="19"/>
      <c r="O1533" s="19"/>
      <c r="P1533" s="19"/>
      <c r="Q1533" s="19"/>
      <c r="R1533" s="19"/>
    </row>
    <row r="1534" spans="13:18">
      <c r="M1534" s="19"/>
      <c r="N1534" s="19"/>
      <c r="O1534" s="19"/>
      <c r="P1534" s="19"/>
      <c r="Q1534" s="19"/>
      <c r="R1534" s="19"/>
    </row>
    <row r="1535" spans="13:18">
      <c r="M1535" s="19"/>
      <c r="N1535" s="19"/>
      <c r="O1535" s="19"/>
      <c r="P1535" s="19"/>
      <c r="Q1535" s="19"/>
      <c r="R1535" s="19"/>
    </row>
    <row r="1536" spans="13:18">
      <c r="M1536" s="19"/>
      <c r="N1536" s="19"/>
      <c r="O1536" s="19"/>
      <c r="P1536" s="19"/>
      <c r="Q1536" s="19"/>
      <c r="R1536" s="19"/>
    </row>
    <row r="1537" spans="13:18">
      <c r="M1537" s="19"/>
      <c r="N1537" s="19"/>
      <c r="O1537" s="19"/>
      <c r="P1537" s="19"/>
      <c r="Q1537" s="19"/>
      <c r="R1537" s="19"/>
    </row>
    <row r="1538" spans="13:18">
      <c r="M1538" s="19"/>
      <c r="N1538" s="19"/>
      <c r="O1538" s="19"/>
      <c r="P1538" s="19"/>
      <c r="Q1538" s="19"/>
      <c r="R1538" s="19"/>
    </row>
    <row r="1539" spans="13:18">
      <c r="M1539" s="19"/>
      <c r="N1539" s="19"/>
      <c r="O1539" s="19"/>
      <c r="P1539" s="19"/>
      <c r="Q1539" s="19"/>
      <c r="R1539" s="19"/>
    </row>
    <row r="1540" spans="13:18">
      <c r="M1540" s="19"/>
      <c r="N1540" s="19"/>
      <c r="O1540" s="19"/>
      <c r="P1540" s="19"/>
      <c r="Q1540" s="19"/>
      <c r="R1540" s="19"/>
    </row>
    <row r="1541" spans="13:18">
      <c r="M1541" s="19"/>
      <c r="N1541" s="19"/>
      <c r="O1541" s="19"/>
      <c r="P1541" s="19"/>
      <c r="Q1541" s="19"/>
      <c r="R1541" s="19"/>
    </row>
    <row r="1542" spans="13:18">
      <c r="M1542" s="19"/>
      <c r="N1542" s="19"/>
      <c r="O1542" s="19"/>
      <c r="P1542" s="19"/>
      <c r="Q1542" s="19"/>
      <c r="R1542" s="19"/>
    </row>
    <row r="1543" spans="13:18">
      <c r="M1543" s="19"/>
      <c r="N1543" s="19"/>
      <c r="O1543" s="19"/>
      <c r="P1543" s="19"/>
      <c r="Q1543" s="19"/>
      <c r="R1543" s="19"/>
    </row>
    <row r="1544" spans="13:18">
      <c r="M1544" s="19"/>
      <c r="N1544" s="19"/>
      <c r="O1544" s="19"/>
      <c r="P1544" s="19"/>
      <c r="Q1544" s="19"/>
      <c r="R1544" s="19"/>
    </row>
    <row r="1545" spans="13:18">
      <c r="M1545" s="19"/>
      <c r="N1545" s="19"/>
      <c r="O1545" s="19"/>
      <c r="P1545" s="19"/>
      <c r="Q1545" s="19"/>
      <c r="R1545" s="19"/>
    </row>
    <row r="1546" spans="13:18">
      <c r="M1546" s="19"/>
      <c r="N1546" s="19"/>
      <c r="O1546" s="19"/>
      <c r="P1546" s="19"/>
      <c r="Q1546" s="19"/>
      <c r="R1546" s="19"/>
    </row>
    <row r="1547" spans="13:18">
      <c r="M1547" s="19"/>
      <c r="N1547" s="19"/>
      <c r="O1547" s="19"/>
      <c r="P1547" s="19"/>
      <c r="Q1547" s="19"/>
      <c r="R1547" s="19"/>
    </row>
    <row r="1548" spans="13:18">
      <c r="M1548" s="19"/>
      <c r="N1548" s="19"/>
      <c r="O1548" s="19"/>
      <c r="P1548" s="19"/>
      <c r="Q1548" s="19"/>
      <c r="R1548" s="19"/>
    </row>
    <row r="1549" spans="13:18">
      <c r="M1549" s="19"/>
      <c r="N1549" s="19"/>
      <c r="O1549" s="19"/>
      <c r="P1549" s="19"/>
      <c r="Q1549" s="19"/>
      <c r="R1549" s="19"/>
    </row>
    <row r="1550" spans="13:18">
      <c r="M1550" s="19"/>
      <c r="N1550" s="19"/>
      <c r="O1550" s="19"/>
      <c r="P1550" s="19"/>
      <c r="Q1550" s="19"/>
      <c r="R1550" s="19"/>
    </row>
    <row r="1551" spans="13:18">
      <c r="M1551" s="19"/>
      <c r="N1551" s="19"/>
      <c r="O1551" s="19"/>
      <c r="P1551" s="19"/>
      <c r="Q1551" s="19"/>
      <c r="R1551" s="19"/>
    </row>
    <row r="1552" spans="13:18">
      <c r="M1552" s="19"/>
      <c r="N1552" s="19"/>
      <c r="O1552" s="19"/>
      <c r="P1552" s="19"/>
      <c r="Q1552" s="19"/>
      <c r="R1552" s="19"/>
    </row>
    <row r="1553" spans="13:18">
      <c r="M1553" s="19"/>
      <c r="N1553" s="19"/>
      <c r="O1553" s="19"/>
      <c r="P1553" s="19"/>
      <c r="Q1553" s="19"/>
      <c r="R1553" s="19"/>
    </row>
    <row r="1554" spans="13:18">
      <c r="M1554" s="19"/>
      <c r="N1554" s="19"/>
      <c r="O1554" s="19"/>
      <c r="P1554" s="19"/>
      <c r="Q1554" s="19"/>
      <c r="R1554" s="19"/>
    </row>
    <row r="1555" spans="13:18">
      <c r="M1555" s="19"/>
      <c r="N1555" s="19"/>
      <c r="O1555" s="19"/>
      <c r="P1555" s="19"/>
      <c r="Q1555" s="19"/>
      <c r="R1555" s="19"/>
    </row>
    <row r="1556" spans="13:18">
      <c r="M1556" s="19"/>
      <c r="N1556" s="19"/>
      <c r="O1556" s="19"/>
      <c r="P1556" s="19"/>
      <c r="Q1556" s="19"/>
      <c r="R1556" s="19"/>
    </row>
    <row r="1557" spans="13:18">
      <c r="M1557" s="19"/>
      <c r="N1557" s="19"/>
      <c r="O1557" s="19"/>
      <c r="P1557" s="19"/>
      <c r="Q1557" s="19"/>
      <c r="R1557" s="19"/>
    </row>
    <row r="1558" spans="13:18">
      <c r="M1558" s="19"/>
      <c r="N1558" s="19"/>
      <c r="O1558" s="19"/>
      <c r="P1558" s="19"/>
      <c r="Q1558" s="19"/>
      <c r="R1558" s="19"/>
    </row>
    <row r="1559" spans="13:18">
      <c r="M1559" s="19"/>
      <c r="N1559" s="19"/>
      <c r="O1559" s="19"/>
      <c r="P1559" s="19"/>
      <c r="Q1559" s="19"/>
      <c r="R1559" s="19"/>
    </row>
    <row r="1560" spans="13:18">
      <c r="M1560" s="19"/>
      <c r="N1560" s="19"/>
      <c r="O1560" s="19"/>
      <c r="P1560" s="19"/>
      <c r="Q1560" s="19"/>
      <c r="R1560" s="19"/>
    </row>
    <row r="1561" spans="13:18">
      <c r="M1561" s="19"/>
      <c r="N1561" s="19"/>
      <c r="O1561" s="19"/>
      <c r="P1561" s="19"/>
      <c r="Q1561" s="19"/>
      <c r="R1561" s="19"/>
    </row>
    <row r="1562" spans="13:18">
      <c r="M1562" s="19"/>
      <c r="N1562" s="19"/>
      <c r="O1562" s="19"/>
      <c r="P1562" s="19"/>
      <c r="Q1562" s="19"/>
      <c r="R1562" s="19"/>
    </row>
    <row r="1563" spans="13:18">
      <c r="M1563" s="19"/>
      <c r="N1563" s="19"/>
      <c r="O1563" s="19"/>
      <c r="P1563" s="19"/>
      <c r="Q1563" s="19"/>
      <c r="R1563" s="19"/>
    </row>
    <row r="1564" spans="13:18">
      <c r="M1564" s="19"/>
      <c r="N1564" s="19"/>
      <c r="O1564" s="19"/>
      <c r="P1564" s="19"/>
      <c r="Q1564" s="19"/>
      <c r="R1564" s="19"/>
    </row>
    <row r="1565" spans="13:18">
      <c r="M1565" s="19"/>
      <c r="N1565" s="19"/>
      <c r="O1565" s="19"/>
      <c r="P1565" s="19"/>
      <c r="Q1565" s="19"/>
      <c r="R1565" s="19"/>
    </row>
    <row r="1566" spans="13:18">
      <c r="M1566" s="19"/>
      <c r="N1566" s="19"/>
      <c r="O1566" s="19"/>
      <c r="P1566" s="19"/>
      <c r="Q1566" s="19"/>
      <c r="R1566" s="19"/>
    </row>
    <row r="1567" spans="13:18">
      <c r="M1567" s="19"/>
      <c r="N1567" s="19"/>
      <c r="O1567" s="19"/>
      <c r="P1567" s="19"/>
      <c r="Q1567" s="19"/>
      <c r="R1567" s="19"/>
    </row>
    <row r="1568" spans="13:18">
      <c r="M1568" s="19"/>
      <c r="N1568" s="19"/>
      <c r="O1568" s="19"/>
      <c r="P1568" s="19"/>
      <c r="Q1568" s="19"/>
      <c r="R1568" s="19"/>
    </row>
    <row r="1569" spans="13:18">
      <c r="M1569" s="19"/>
      <c r="N1569" s="19"/>
      <c r="O1569" s="19"/>
      <c r="P1569" s="19"/>
      <c r="Q1569" s="19"/>
      <c r="R1569" s="19"/>
    </row>
    <row r="1570" spans="13:18">
      <c r="M1570" s="19"/>
      <c r="N1570" s="19"/>
      <c r="O1570" s="19"/>
      <c r="P1570" s="19"/>
      <c r="Q1570" s="19"/>
      <c r="R1570" s="19"/>
    </row>
    <row r="1571" spans="13:18">
      <c r="M1571" s="19"/>
      <c r="N1571" s="19"/>
      <c r="O1571" s="19"/>
      <c r="P1571" s="19"/>
      <c r="Q1571" s="19"/>
      <c r="R1571" s="19"/>
    </row>
    <row r="1572" spans="13:18">
      <c r="M1572" s="19"/>
      <c r="N1572" s="19"/>
      <c r="O1572" s="19"/>
      <c r="P1572" s="19"/>
      <c r="Q1572" s="19"/>
      <c r="R1572" s="19"/>
    </row>
    <row r="1573" spans="13:18">
      <c r="M1573" s="19"/>
      <c r="N1573" s="19"/>
      <c r="O1573" s="19"/>
      <c r="P1573" s="19"/>
      <c r="Q1573" s="19"/>
      <c r="R1573" s="19"/>
    </row>
    <row r="1574" spans="13:18">
      <c r="M1574" s="19"/>
      <c r="N1574" s="19"/>
      <c r="O1574" s="19"/>
      <c r="P1574" s="19"/>
      <c r="Q1574" s="19"/>
      <c r="R1574" s="19"/>
    </row>
    <row r="1575" spans="13:18">
      <c r="M1575" s="19"/>
      <c r="N1575" s="19"/>
      <c r="O1575" s="19"/>
      <c r="P1575" s="19"/>
      <c r="Q1575" s="19"/>
      <c r="R1575" s="19"/>
    </row>
    <row r="1576" spans="13:18">
      <c r="M1576" s="19"/>
      <c r="N1576" s="19"/>
      <c r="O1576" s="19"/>
      <c r="P1576" s="19"/>
      <c r="Q1576" s="19"/>
      <c r="R1576" s="19"/>
    </row>
    <row r="1577" spans="13:18">
      <c r="M1577" s="19"/>
      <c r="N1577" s="19"/>
      <c r="O1577" s="19"/>
      <c r="P1577" s="19"/>
      <c r="Q1577" s="19"/>
      <c r="R1577" s="19"/>
    </row>
    <row r="1578" spans="13:18">
      <c r="M1578" s="19"/>
      <c r="N1578" s="19"/>
      <c r="O1578" s="19"/>
      <c r="P1578" s="19"/>
      <c r="Q1578" s="19"/>
      <c r="R1578" s="19"/>
    </row>
    <row r="1579" spans="13:18">
      <c r="M1579" s="19"/>
      <c r="N1579" s="19"/>
      <c r="O1579" s="19"/>
      <c r="P1579" s="19"/>
      <c r="Q1579" s="19"/>
      <c r="R1579" s="19"/>
    </row>
    <row r="1580" spans="13:18">
      <c r="M1580" s="19"/>
      <c r="N1580" s="19"/>
      <c r="O1580" s="19"/>
      <c r="P1580" s="19"/>
      <c r="Q1580" s="19"/>
      <c r="R1580" s="19"/>
    </row>
    <row r="1581" spans="13:18">
      <c r="M1581" s="19"/>
      <c r="N1581" s="19"/>
      <c r="O1581" s="19"/>
      <c r="P1581" s="19"/>
      <c r="Q1581" s="19"/>
      <c r="R1581" s="19"/>
    </row>
    <row r="1582" spans="13:18">
      <c r="M1582" s="19"/>
      <c r="N1582" s="19"/>
      <c r="O1582" s="19"/>
      <c r="P1582" s="19"/>
      <c r="Q1582" s="19"/>
      <c r="R1582" s="19"/>
    </row>
    <row r="1583" spans="13:18">
      <c r="M1583" s="19"/>
      <c r="N1583" s="19"/>
      <c r="O1583" s="19"/>
      <c r="P1583" s="19"/>
      <c r="Q1583" s="19"/>
      <c r="R1583" s="19"/>
    </row>
    <row r="1584" spans="13:18">
      <c r="M1584" s="19"/>
      <c r="N1584" s="19"/>
      <c r="O1584" s="19"/>
      <c r="P1584" s="19"/>
      <c r="Q1584" s="19"/>
      <c r="R1584" s="19"/>
    </row>
    <row r="1585" spans="13:18">
      <c r="M1585" s="19"/>
      <c r="N1585" s="19"/>
      <c r="O1585" s="19"/>
      <c r="P1585" s="19"/>
      <c r="Q1585" s="19"/>
      <c r="R1585" s="19"/>
    </row>
    <row r="1586" spans="13:18">
      <c r="M1586" s="19"/>
      <c r="N1586" s="19"/>
      <c r="O1586" s="19"/>
      <c r="P1586" s="19"/>
      <c r="Q1586" s="19"/>
      <c r="R1586" s="19"/>
    </row>
    <row r="1587" spans="13:18">
      <c r="M1587" s="19"/>
      <c r="N1587" s="19"/>
      <c r="O1587" s="19"/>
      <c r="P1587" s="19"/>
      <c r="Q1587" s="19"/>
      <c r="R1587" s="19"/>
    </row>
    <row r="1588" spans="13:18">
      <c r="M1588" s="19"/>
      <c r="N1588" s="19"/>
      <c r="O1588" s="19"/>
      <c r="P1588" s="19"/>
      <c r="Q1588" s="19"/>
      <c r="R1588" s="19"/>
    </row>
    <row r="1589" spans="13:18">
      <c r="M1589" s="19"/>
      <c r="N1589" s="19"/>
      <c r="O1589" s="19"/>
      <c r="P1589" s="19"/>
      <c r="Q1589" s="19"/>
      <c r="R1589" s="19"/>
    </row>
    <row r="1590" spans="13:18">
      <c r="M1590" s="19"/>
      <c r="N1590" s="19"/>
      <c r="O1590" s="19"/>
      <c r="P1590" s="19"/>
      <c r="Q1590" s="19"/>
      <c r="R1590" s="19"/>
    </row>
    <row r="1591" spans="13:18">
      <c r="M1591" s="19"/>
      <c r="N1591" s="19"/>
      <c r="O1591" s="19"/>
      <c r="P1591" s="19"/>
      <c r="Q1591" s="19"/>
      <c r="R1591" s="19"/>
    </row>
    <row r="1592" spans="13:18">
      <c r="M1592" s="19"/>
      <c r="N1592" s="19"/>
      <c r="O1592" s="19"/>
      <c r="P1592" s="19"/>
      <c r="Q1592" s="19"/>
      <c r="R1592" s="19"/>
    </row>
    <row r="1593" spans="13:18">
      <c r="M1593" s="19"/>
      <c r="N1593" s="19"/>
      <c r="O1593" s="19"/>
      <c r="P1593" s="19"/>
      <c r="Q1593" s="19"/>
      <c r="R1593" s="19"/>
    </row>
    <row r="1594" spans="13:18">
      <c r="M1594" s="19"/>
      <c r="N1594" s="19"/>
      <c r="O1594" s="19"/>
      <c r="P1594" s="19"/>
      <c r="Q1594" s="19"/>
      <c r="R1594" s="19"/>
    </row>
    <row r="1595" spans="13:18">
      <c r="M1595" s="19"/>
      <c r="N1595" s="19"/>
      <c r="O1595" s="19"/>
      <c r="P1595" s="19"/>
      <c r="Q1595" s="19"/>
      <c r="R1595" s="19"/>
    </row>
    <row r="1596" spans="13:18">
      <c r="M1596" s="19"/>
      <c r="N1596" s="19"/>
      <c r="O1596" s="19"/>
      <c r="P1596" s="19"/>
      <c r="Q1596" s="19"/>
      <c r="R1596" s="19"/>
    </row>
    <row r="1597" spans="13:18">
      <c r="M1597" s="19"/>
      <c r="N1597" s="19"/>
      <c r="O1597" s="19"/>
      <c r="P1597" s="19"/>
      <c r="Q1597" s="19"/>
      <c r="R1597" s="19"/>
    </row>
    <row r="1598" spans="13:18">
      <c r="M1598" s="19"/>
      <c r="N1598" s="19"/>
      <c r="O1598" s="19"/>
      <c r="P1598" s="19"/>
      <c r="Q1598" s="19"/>
      <c r="R1598" s="19"/>
    </row>
    <row r="1599" spans="13:18">
      <c r="M1599" s="19"/>
      <c r="N1599" s="19"/>
      <c r="O1599" s="19"/>
      <c r="P1599" s="19"/>
      <c r="Q1599" s="19"/>
      <c r="R1599" s="19"/>
    </row>
    <row r="1600" spans="13:18">
      <c r="M1600" s="19"/>
      <c r="N1600" s="19"/>
      <c r="O1600" s="19"/>
      <c r="P1600" s="19"/>
      <c r="Q1600" s="19"/>
      <c r="R1600" s="19"/>
    </row>
    <row r="1601" spans="13:18">
      <c r="M1601" s="19"/>
      <c r="N1601" s="19"/>
      <c r="O1601" s="19"/>
      <c r="P1601" s="19"/>
      <c r="Q1601" s="19"/>
      <c r="R1601" s="19"/>
    </row>
    <row r="1602" spans="13:18">
      <c r="M1602" s="19"/>
      <c r="N1602" s="19"/>
      <c r="O1602" s="19"/>
      <c r="P1602" s="19"/>
      <c r="Q1602" s="19"/>
      <c r="R1602" s="19"/>
    </row>
    <row r="1603" spans="13:18">
      <c r="M1603" s="19"/>
      <c r="N1603" s="19"/>
      <c r="O1603" s="19"/>
      <c r="P1603" s="19"/>
      <c r="Q1603" s="19"/>
      <c r="R1603" s="19"/>
    </row>
    <row r="1604" spans="13:18">
      <c r="M1604" s="19"/>
      <c r="N1604" s="19"/>
      <c r="O1604" s="19"/>
      <c r="P1604" s="19"/>
      <c r="Q1604" s="19"/>
      <c r="R1604" s="19"/>
    </row>
    <row r="1605" spans="13:18">
      <c r="M1605" s="19"/>
      <c r="N1605" s="19"/>
      <c r="O1605" s="19"/>
      <c r="P1605" s="19"/>
      <c r="Q1605" s="19"/>
      <c r="R1605" s="19"/>
    </row>
    <row r="1606" spans="13:18">
      <c r="M1606" s="19"/>
      <c r="N1606" s="19"/>
      <c r="O1606" s="19"/>
      <c r="P1606" s="19"/>
      <c r="Q1606" s="19"/>
      <c r="R1606" s="19"/>
    </row>
    <row r="1607" spans="13:18">
      <c r="M1607" s="19"/>
      <c r="N1607" s="19"/>
      <c r="O1607" s="19"/>
      <c r="P1607" s="19"/>
      <c r="Q1607" s="19"/>
      <c r="R1607" s="19"/>
    </row>
    <row r="1608" spans="13:18">
      <c r="M1608" s="19"/>
      <c r="N1608" s="19"/>
      <c r="O1608" s="19"/>
      <c r="P1608" s="19"/>
      <c r="Q1608" s="19"/>
      <c r="R1608" s="19"/>
    </row>
    <row r="1609" spans="13:18">
      <c r="M1609" s="19"/>
      <c r="N1609" s="19"/>
      <c r="O1609" s="19"/>
      <c r="P1609" s="19"/>
      <c r="Q1609" s="19"/>
      <c r="R1609" s="19"/>
    </row>
    <row r="1610" spans="13:18">
      <c r="M1610" s="19"/>
      <c r="N1610" s="19"/>
      <c r="O1610" s="19"/>
      <c r="P1610" s="19"/>
      <c r="Q1610" s="19"/>
      <c r="R1610" s="19"/>
    </row>
    <row r="1611" spans="13:18">
      <c r="M1611" s="19"/>
      <c r="N1611" s="19"/>
      <c r="O1611" s="19"/>
      <c r="P1611" s="19"/>
      <c r="Q1611" s="19"/>
      <c r="R1611" s="19"/>
    </row>
    <row r="1612" spans="13:18">
      <c r="M1612" s="19"/>
      <c r="N1612" s="19"/>
      <c r="O1612" s="19"/>
      <c r="P1612" s="19"/>
      <c r="Q1612" s="19"/>
      <c r="R1612" s="19"/>
    </row>
    <row r="1613" spans="13:18">
      <c r="M1613" s="19"/>
      <c r="N1613" s="19"/>
      <c r="O1613" s="19"/>
      <c r="P1613" s="19"/>
      <c r="Q1613" s="19"/>
      <c r="R1613" s="19"/>
    </row>
    <row r="1614" spans="13:18">
      <c r="M1614" s="19"/>
      <c r="N1614" s="19"/>
      <c r="O1614" s="19"/>
      <c r="P1614" s="19"/>
      <c r="Q1614" s="19"/>
      <c r="R1614" s="19"/>
    </row>
    <row r="1615" spans="13:18">
      <c r="M1615" s="19"/>
      <c r="N1615" s="19"/>
      <c r="O1615" s="19"/>
      <c r="P1615" s="19"/>
      <c r="Q1615" s="19"/>
      <c r="R1615" s="19"/>
    </row>
    <row r="1616" spans="13:18">
      <c r="M1616" s="19"/>
      <c r="N1616" s="19"/>
      <c r="O1616" s="19"/>
      <c r="P1616" s="19"/>
      <c r="Q1616" s="19"/>
      <c r="R1616" s="19"/>
    </row>
    <row r="1617" spans="13:18">
      <c r="M1617" s="19"/>
      <c r="N1617" s="19"/>
      <c r="O1617" s="19"/>
      <c r="P1617" s="19"/>
      <c r="Q1617" s="19"/>
      <c r="R1617" s="19"/>
    </row>
    <row r="1618" spans="13:18">
      <c r="M1618" s="19"/>
      <c r="N1618" s="19"/>
      <c r="O1618" s="19"/>
      <c r="P1618" s="19"/>
      <c r="Q1618" s="19"/>
      <c r="R1618" s="19"/>
    </row>
    <row r="1619" spans="13:18">
      <c r="M1619" s="19"/>
      <c r="N1619" s="19"/>
      <c r="O1619" s="19"/>
      <c r="P1619" s="19"/>
      <c r="Q1619" s="19"/>
      <c r="R1619" s="19"/>
    </row>
    <row r="1620" spans="13:18">
      <c r="M1620" s="19"/>
      <c r="N1620" s="19"/>
      <c r="O1620" s="19"/>
      <c r="P1620" s="19"/>
      <c r="Q1620" s="19"/>
      <c r="R1620" s="19"/>
    </row>
    <row r="1621" spans="13:18">
      <c r="M1621" s="19"/>
      <c r="N1621" s="19"/>
      <c r="O1621" s="19"/>
      <c r="P1621" s="19"/>
      <c r="Q1621" s="19"/>
      <c r="R1621" s="19"/>
    </row>
    <row r="1622" spans="13:18">
      <c r="M1622" s="19"/>
      <c r="N1622" s="19"/>
      <c r="O1622" s="19"/>
      <c r="P1622" s="19"/>
      <c r="Q1622" s="19"/>
      <c r="R1622" s="19"/>
    </row>
    <row r="1623" spans="13:18">
      <c r="M1623" s="19"/>
      <c r="N1623" s="19"/>
      <c r="O1623" s="19"/>
      <c r="P1623" s="19"/>
      <c r="Q1623" s="19"/>
      <c r="R1623" s="19"/>
    </row>
    <row r="1624" spans="13:18">
      <c r="M1624" s="19"/>
      <c r="N1624" s="19"/>
      <c r="O1624" s="19"/>
      <c r="P1624" s="19"/>
      <c r="Q1624" s="19"/>
      <c r="R1624" s="19"/>
    </row>
    <row r="1625" spans="13:18">
      <c r="M1625" s="19"/>
      <c r="N1625" s="19"/>
      <c r="O1625" s="19"/>
      <c r="P1625" s="19"/>
      <c r="Q1625" s="19"/>
      <c r="R1625" s="19"/>
    </row>
    <row r="1626" spans="13:18">
      <c r="M1626" s="19"/>
      <c r="N1626" s="19"/>
      <c r="O1626" s="19"/>
      <c r="P1626" s="19"/>
      <c r="Q1626" s="19"/>
      <c r="R1626" s="19"/>
    </row>
    <row r="1627" spans="13:18">
      <c r="M1627" s="19"/>
      <c r="N1627" s="19"/>
      <c r="O1627" s="19"/>
      <c r="P1627" s="19"/>
      <c r="Q1627" s="19"/>
      <c r="R1627" s="19"/>
    </row>
    <row r="1628" spans="13:18">
      <c r="M1628" s="19"/>
      <c r="N1628" s="19"/>
      <c r="O1628" s="19"/>
      <c r="P1628" s="19"/>
      <c r="Q1628" s="19"/>
      <c r="R1628" s="19"/>
    </row>
    <row r="1629" spans="13:18">
      <c r="M1629" s="19"/>
      <c r="N1629" s="19"/>
      <c r="O1629" s="19"/>
      <c r="P1629" s="19"/>
      <c r="Q1629" s="19"/>
      <c r="R1629" s="19"/>
    </row>
    <row r="1630" spans="13:18">
      <c r="M1630" s="19"/>
      <c r="N1630" s="19"/>
      <c r="O1630" s="19"/>
      <c r="P1630" s="19"/>
      <c r="Q1630" s="19"/>
      <c r="R1630" s="19"/>
    </row>
    <row r="1631" spans="13:18">
      <c r="M1631" s="19"/>
      <c r="N1631" s="19"/>
      <c r="O1631" s="19"/>
      <c r="P1631" s="19"/>
      <c r="Q1631" s="19"/>
      <c r="R1631" s="19"/>
    </row>
    <row r="1632" spans="13:18">
      <c r="M1632" s="19"/>
      <c r="N1632" s="19"/>
      <c r="O1632" s="19"/>
      <c r="P1632" s="19"/>
      <c r="Q1632" s="19"/>
      <c r="R1632" s="19"/>
    </row>
    <row r="1633" spans="13:18">
      <c r="M1633" s="19"/>
      <c r="N1633" s="19"/>
      <c r="O1633" s="19"/>
      <c r="P1633" s="19"/>
      <c r="Q1633" s="19"/>
      <c r="R1633" s="19"/>
    </row>
    <row r="1634" spans="13:18">
      <c r="M1634" s="19"/>
      <c r="N1634" s="19"/>
      <c r="O1634" s="19"/>
      <c r="P1634" s="19"/>
      <c r="Q1634" s="19"/>
      <c r="R1634" s="19"/>
    </row>
    <row r="1635" spans="13:18">
      <c r="M1635" s="19"/>
      <c r="N1635" s="19"/>
      <c r="O1635" s="19"/>
      <c r="P1635" s="19"/>
      <c r="Q1635" s="19"/>
      <c r="R1635" s="19"/>
    </row>
    <row r="1636" spans="13:18">
      <c r="M1636" s="19"/>
      <c r="N1636" s="19"/>
      <c r="O1636" s="19"/>
      <c r="P1636" s="19"/>
      <c r="Q1636" s="19"/>
      <c r="R1636" s="19"/>
    </row>
    <row r="1637" spans="13:18">
      <c r="M1637" s="19"/>
      <c r="N1637" s="19"/>
      <c r="O1637" s="19"/>
      <c r="P1637" s="19"/>
      <c r="Q1637" s="19"/>
      <c r="R1637" s="19"/>
    </row>
    <row r="1638" spans="13:18">
      <c r="M1638" s="19"/>
      <c r="N1638" s="19"/>
      <c r="O1638" s="19"/>
      <c r="P1638" s="19"/>
      <c r="Q1638" s="19"/>
      <c r="R1638" s="19"/>
    </row>
    <row r="1639" spans="13:18">
      <c r="M1639" s="19"/>
      <c r="N1639" s="19"/>
      <c r="O1639" s="19"/>
      <c r="P1639" s="19"/>
      <c r="Q1639" s="19"/>
      <c r="R1639" s="19"/>
    </row>
    <row r="1640" spans="13:18">
      <c r="M1640" s="19"/>
      <c r="N1640" s="19"/>
      <c r="O1640" s="19"/>
      <c r="P1640" s="19"/>
      <c r="Q1640" s="19"/>
      <c r="R1640" s="19"/>
    </row>
    <row r="1641" spans="13:18">
      <c r="M1641" s="19"/>
      <c r="N1641" s="19"/>
      <c r="O1641" s="19"/>
      <c r="P1641" s="19"/>
      <c r="Q1641" s="19"/>
      <c r="R1641" s="19"/>
    </row>
    <row r="1642" spans="13:18">
      <c r="M1642" s="19"/>
      <c r="N1642" s="19"/>
      <c r="O1642" s="19"/>
      <c r="P1642" s="19"/>
      <c r="Q1642" s="19"/>
      <c r="R1642" s="19"/>
    </row>
    <row r="1643" spans="13:18">
      <c r="M1643" s="19"/>
      <c r="N1643" s="19"/>
      <c r="O1643" s="19"/>
      <c r="P1643" s="19"/>
      <c r="Q1643" s="19"/>
      <c r="R1643" s="19"/>
    </row>
    <row r="1644" spans="13:18">
      <c r="M1644" s="19"/>
      <c r="N1644" s="19"/>
      <c r="O1644" s="19"/>
      <c r="P1644" s="19"/>
      <c r="Q1644" s="19"/>
      <c r="R1644" s="19"/>
    </row>
    <row r="1645" spans="13:18">
      <c r="M1645" s="19"/>
      <c r="N1645" s="19"/>
      <c r="O1645" s="19"/>
      <c r="P1645" s="19"/>
      <c r="Q1645" s="19"/>
      <c r="R1645" s="19"/>
    </row>
    <row r="1646" spans="13:18">
      <c r="M1646" s="19"/>
      <c r="N1646" s="19"/>
      <c r="O1646" s="19"/>
      <c r="P1646" s="19"/>
      <c r="Q1646" s="19"/>
      <c r="R1646" s="19"/>
    </row>
    <row r="1647" spans="13:18">
      <c r="M1647" s="19"/>
      <c r="N1647" s="19"/>
      <c r="O1647" s="19"/>
      <c r="P1647" s="19"/>
      <c r="Q1647" s="19"/>
      <c r="R1647" s="19"/>
    </row>
    <row r="1648" spans="13:18">
      <c r="M1648" s="19"/>
      <c r="N1648" s="19"/>
      <c r="O1648" s="19"/>
      <c r="P1648" s="19"/>
      <c r="Q1648" s="19"/>
      <c r="R1648" s="19"/>
    </row>
    <row r="1649" spans="13:18">
      <c r="M1649" s="19"/>
      <c r="N1649" s="19"/>
      <c r="O1649" s="19"/>
      <c r="P1649" s="19"/>
      <c r="Q1649" s="19"/>
      <c r="R1649" s="19"/>
    </row>
    <row r="1650" spans="13:18">
      <c r="M1650" s="19"/>
      <c r="N1650" s="19"/>
      <c r="O1650" s="19"/>
      <c r="P1650" s="19"/>
      <c r="Q1650" s="19"/>
      <c r="R1650" s="19"/>
    </row>
    <row r="1651" spans="13:18">
      <c r="M1651" s="19"/>
      <c r="N1651" s="19"/>
      <c r="O1651" s="19"/>
      <c r="P1651" s="19"/>
      <c r="Q1651" s="19"/>
      <c r="R1651" s="19"/>
    </row>
    <row r="1652" spans="13:18">
      <c r="M1652" s="19"/>
      <c r="N1652" s="19"/>
      <c r="O1652" s="19"/>
      <c r="P1652" s="19"/>
      <c r="Q1652" s="19"/>
      <c r="R1652" s="19"/>
    </row>
    <row r="1653" spans="13:18">
      <c r="M1653" s="19"/>
      <c r="N1653" s="19"/>
      <c r="O1653" s="19"/>
      <c r="P1653" s="19"/>
      <c r="Q1653" s="19"/>
      <c r="R1653" s="19"/>
    </row>
    <row r="1654" spans="13:18">
      <c r="M1654" s="19"/>
      <c r="N1654" s="19"/>
      <c r="O1654" s="19"/>
      <c r="P1654" s="19"/>
      <c r="Q1654" s="19"/>
      <c r="R1654" s="19"/>
    </row>
    <row r="1655" spans="13:18">
      <c r="M1655" s="19"/>
      <c r="N1655" s="19"/>
      <c r="O1655" s="19"/>
      <c r="P1655" s="19"/>
      <c r="Q1655" s="19"/>
      <c r="R1655" s="19"/>
    </row>
    <row r="1656" spans="13:18">
      <c r="M1656" s="19"/>
      <c r="N1656" s="19"/>
      <c r="O1656" s="19"/>
      <c r="P1656" s="19"/>
      <c r="Q1656" s="19"/>
      <c r="R1656" s="19"/>
    </row>
    <row r="1657" spans="13:18">
      <c r="M1657" s="19"/>
      <c r="N1657" s="19"/>
      <c r="O1657" s="19"/>
      <c r="P1657" s="19"/>
      <c r="Q1657" s="19"/>
      <c r="R1657" s="19"/>
    </row>
    <row r="1658" spans="13:18">
      <c r="M1658" s="19"/>
      <c r="N1658" s="19"/>
      <c r="O1658" s="19"/>
      <c r="P1658" s="19"/>
      <c r="Q1658" s="19"/>
      <c r="R1658" s="19"/>
    </row>
    <row r="1659" spans="13:18">
      <c r="M1659" s="19"/>
      <c r="N1659" s="19"/>
      <c r="O1659" s="19"/>
      <c r="P1659" s="19"/>
      <c r="Q1659" s="19"/>
      <c r="R1659" s="19"/>
    </row>
    <row r="1660" spans="13:18">
      <c r="M1660" s="19"/>
      <c r="N1660" s="19"/>
      <c r="O1660" s="19"/>
      <c r="P1660" s="19"/>
      <c r="Q1660" s="19"/>
      <c r="R1660" s="19"/>
    </row>
    <row r="1661" spans="13:18">
      <c r="M1661" s="19"/>
      <c r="N1661" s="19"/>
      <c r="O1661" s="19"/>
      <c r="P1661" s="19"/>
      <c r="Q1661" s="19"/>
      <c r="R1661" s="19"/>
    </row>
    <row r="1662" spans="13:18">
      <c r="M1662" s="19"/>
      <c r="N1662" s="19"/>
      <c r="O1662" s="19"/>
      <c r="P1662" s="19"/>
      <c r="Q1662" s="19"/>
      <c r="R1662" s="19"/>
    </row>
    <row r="1663" spans="13:18">
      <c r="M1663" s="19"/>
      <c r="N1663" s="19"/>
      <c r="O1663" s="19"/>
      <c r="P1663" s="19"/>
      <c r="Q1663" s="19"/>
      <c r="R1663" s="19"/>
    </row>
    <row r="1664" spans="13:18">
      <c r="M1664" s="19"/>
      <c r="N1664" s="19"/>
      <c r="O1664" s="19"/>
      <c r="P1664" s="19"/>
      <c r="Q1664" s="19"/>
      <c r="R1664" s="19"/>
    </row>
    <row r="1665" spans="13:18">
      <c r="M1665" s="19"/>
      <c r="N1665" s="19"/>
      <c r="O1665" s="19"/>
      <c r="P1665" s="19"/>
      <c r="Q1665" s="19"/>
      <c r="R1665" s="19"/>
    </row>
    <row r="1666" spans="13:18">
      <c r="M1666" s="19"/>
      <c r="N1666" s="19"/>
      <c r="O1666" s="19"/>
      <c r="P1666" s="19"/>
      <c r="Q1666" s="19"/>
      <c r="R1666" s="19"/>
    </row>
    <row r="1667" spans="13:18">
      <c r="M1667" s="19"/>
      <c r="N1667" s="19"/>
      <c r="O1667" s="19"/>
      <c r="P1667" s="19"/>
      <c r="Q1667" s="19"/>
      <c r="R1667" s="19"/>
    </row>
    <row r="1668" spans="13:18">
      <c r="M1668" s="19"/>
      <c r="N1668" s="19"/>
      <c r="O1668" s="19"/>
      <c r="P1668" s="19"/>
      <c r="Q1668" s="19"/>
      <c r="R1668" s="19"/>
    </row>
    <row r="1669" spans="13:18">
      <c r="M1669" s="19"/>
      <c r="N1669" s="19"/>
      <c r="O1669" s="19"/>
      <c r="P1669" s="19"/>
      <c r="Q1669" s="19"/>
      <c r="R1669" s="19"/>
    </row>
    <row r="1670" spans="13:18">
      <c r="M1670" s="19"/>
      <c r="N1670" s="19"/>
      <c r="O1670" s="19"/>
      <c r="P1670" s="19"/>
      <c r="Q1670" s="19"/>
      <c r="R1670" s="19"/>
    </row>
    <row r="1671" spans="13:18">
      <c r="M1671" s="19"/>
      <c r="N1671" s="19"/>
      <c r="O1671" s="19"/>
      <c r="P1671" s="19"/>
      <c r="Q1671" s="19"/>
      <c r="R1671" s="19"/>
    </row>
    <row r="1672" spans="13:18">
      <c r="M1672" s="19"/>
      <c r="N1672" s="19"/>
      <c r="O1672" s="19"/>
      <c r="P1672" s="19"/>
      <c r="Q1672" s="19"/>
      <c r="R1672" s="19"/>
    </row>
    <row r="1673" spans="13:18">
      <c r="M1673" s="19"/>
      <c r="N1673" s="19"/>
      <c r="O1673" s="19"/>
      <c r="P1673" s="19"/>
      <c r="Q1673" s="19"/>
      <c r="R1673" s="19"/>
    </row>
    <row r="1674" spans="13:18">
      <c r="M1674" s="19"/>
      <c r="N1674" s="19"/>
      <c r="O1674" s="19"/>
      <c r="P1674" s="19"/>
      <c r="Q1674" s="19"/>
      <c r="R1674" s="19"/>
    </row>
    <row r="1675" spans="13:18">
      <c r="M1675" s="19"/>
      <c r="N1675" s="19"/>
      <c r="O1675" s="19"/>
      <c r="P1675" s="19"/>
      <c r="Q1675" s="19"/>
      <c r="R1675" s="19"/>
    </row>
    <row r="1676" spans="13:18">
      <c r="M1676" s="19"/>
      <c r="N1676" s="19"/>
      <c r="O1676" s="19"/>
      <c r="P1676" s="19"/>
      <c r="Q1676" s="19"/>
      <c r="R1676" s="19"/>
    </row>
    <row r="1677" spans="13:18">
      <c r="M1677" s="19"/>
      <c r="N1677" s="19"/>
      <c r="O1677" s="19"/>
      <c r="P1677" s="19"/>
      <c r="Q1677" s="19"/>
      <c r="R1677" s="19"/>
    </row>
    <row r="1678" spans="13:18">
      <c r="M1678" s="19"/>
      <c r="N1678" s="19"/>
      <c r="O1678" s="19"/>
      <c r="P1678" s="19"/>
      <c r="Q1678" s="19"/>
      <c r="R1678" s="19"/>
    </row>
    <row r="1679" spans="13:18">
      <c r="M1679" s="19"/>
      <c r="N1679" s="19"/>
      <c r="O1679" s="19"/>
      <c r="P1679" s="19"/>
      <c r="Q1679" s="19"/>
      <c r="R1679" s="19"/>
    </row>
    <row r="1680" spans="13:18">
      <c r="M1680" s="19"/>
      <c r="N1680" s="19"/>
      <c r="O1680" s="19"/>
      <c r="P1680" s="19"/>
      <c r="Q1680" s="19"/>
      <c r="R1680" s="19"/>
    </row>
    <row r="1681" spans="13:18">
      <c r="M1681" s="19"/>
      <c r="N1681" s="19"/>
      <c r="O1681" s="19"/>
      <c r="P1681" s="19"/>
      <c r="Q1681" s="19"/>
      <c r="R1681" s="19"/>
    </row>
    <row r="1682" spans="13:18">
      <c r="M1682" s="19"/>
      <c r="N1682" s="19"/>
      <c r="O1682" s="19"/>
      <c r="P1682" s="19"/>
      <c r="Q1682" s="19"/>
      <c r="R1682" s="19"/>
    </row>
    <row r="1683" spans="13:18">
      <c r="M1683" s="19"/>
      <c r="N1683" s="19"/>
      <c r="O1683" s="19"/>
      <c r="P1683" s="19"/>
      <c r="Q1683" s="19"/>
      <c r="R1683" s="19"/>
    </row>
    <row r="1684" spans="13:18">
      <c r="M1684" s="19"/>
      <c r="N1684" s="19"/>
      <c r="O1684" s="19"/>
      <c r="P1684" s="19"/>
      <c r="Q1684" s="19"/>
      <c r="R1684" s="19"/>
    </row>
    <row r="1685" spans="13:18">
      <c r="M1685" s="19"/>
      <c r="N1685" s="19"/>
      <c r="O1685" s="19"/>
      <c r="P1685" s="19"/>
      <c r="Q1685" s="19"/>
      <c r="R1685" s="19"/>
    </row>
    <row r="1686" spans="13:18">
      <c r="M1686" s="19"/>
      <c r="N1686" s="19"/>
      <c r="O1686" s="19"/>
      <c r="P1686" s="19"/>
      <c r="Q1686" s="19"/>
      <c r="R1686" s="19"/>
    </row>
    <row r="1687" spans="13:18">
      <c r="M1687" s="19"/>
      <c r="N1687" s="19"/>
      <c r="O1687" s="19"/>
      <c r="P1687" s="19"/>
      <c r="Q1687" s="19"/>
      <c r="R1687" s="19"/>
    </row>
    <row r="1688" spans="13:18">
      <c r="M1688" s="19"/>
      <c r="N1688" s="19"/>
      <c r="O1688" s="19"/>
      <c r="P1688" s="19"/>
      <c r="Q1688" s="19"/>
      <c r="R1688" s="19"/>
    </row>
    <row r="1689" spans="13:18">
      <c r="M1689" s="19"/>
      <c r="N1689" s="19"/>
      <c r="O1689" s="19"/>
      <c r="P1689" s="19"/>
      <c r="Q1689" s="19"/>
      <c r="R1689" s="19"/>
    </row>
    <row r="1690" spans="13:18">
      <c r="M1690" s="19"/>
      <c r="N1690" s="19"/>
      <c r="O1690" s="19"/>
      <c r="P1690" s="19"/>
      <c r="Q1690" s="19"/>
      <c r="R1690" s="19"/>
    </row>
    <row r="1691" spans="13:18">
      <c r="M1691" s="19"/>
      <c r="N1691" s="19"/>
      <c r="O1691" s="19"/>
      <c r="P1691" s="19"/>
      <c r="Q1691" s="19"/>
      <c r="R1691" s="19"/>
    </row>
    <row r="1692" spans="13:18">
      <c r="M1692" s="19"/>
      <c r="N1692" s="19"/>
      <c r="O1692" s="19"/>
      <c r="P1692" s="19"/>
      <c r="Q1692" s="19"/>
      <c r="R1692" s="19"/>
    </row>
    <row r="1693" spans="13:18">
      <c r="M1693" s="19"/>
      <c r="N1693" s="19"/>
      <c r="O1693" s="19"/>
      <c r="P1693" s="19"/>
      <c r="Q1693" s="19"/>
      <c r="R1693" s="19"/>
    </row>
    <row r="1694" spans="13:18">
      <c r="M1694" s="19"/>
      <c r="N1694" s="19"/>
      <c r="O1694" s="19"/>
      <c r="P1694" s="19"/>
      <c r="Q1694" s="19"/>
      <c r="R1694" s="19"/>
    </row>
    <row r="1695" spans="13:18">
      <c r="M1695" s="19"/>
      <c r="N1695" s="19"/>
      <c r="O1695" s="19"/>
      <c r="P1695" s="19"/>
      <c r="Q1695" s="19"/>
      <c r="R1695" s="19"/>
    </row>
    <row r="1696" spans="13:18">
      <c r="M1696" s="19"/>
      <c r="N1696" s="19"/>
      <c r="O1696" s="19"/>
      <c r="P1696" s="19"/>
      <c r="Q1696" s="19"/>
      <c r="R1696" s="19"/>
    </row>
    <row r="1697" spans="13:18">
      <c r="M1697" s="19"/>
      <c r="N1697" s="19"/>
      <c r="O1697" s="19"/>
      <c r="P1697" s="19"/>
      <c r="Q1697" s="19"/>
      <c r="R1697" s="19"/>
    </row>
    <row r="1698" spans="13:18">
      <c r="M1698" s="19"/>
      <c r="N1698" s="19"/>
      <c r="O1698" s="19"/>
      <c r="P1698" s="19"/>
      <c r="Q1698" s="19"/>
      <c r="R1698" s="19"/>
    </row>
    <row r="1699" spans="13:18">
      <c r="M1699" s="19"/>
      <c r="N1699" s="19"/>
      <c r="O1699" s="19"/>
      <c r="P1699" s="19"/>
      <c r="Q1699" s="19"/>
      <c r="R1699" s="19"/>
    </row>
    <row r="1700" spans="13:18">
      <c r="M1700" s="19"/>
      <c r="N1700" s="19"/>
      <c r="O1700" s="19"/>
      <c r="P1700" s="19"/>
      <c r="Q1700" s="19"/>
      <c r="R1700" s="19"/>
    </row>
    <row r="1701" spans="13:18">
      <c r="M1701" s="19"/>
      <c r="N1701" s="19"/>
      <c r="O1701" s="19"/>
      <c r="P1701" s="19"/>
      <c r="Q1701" s="19"/>
      <c r="R1701" s="19"/>
    </row>
    <row r="1702" spans="13:18">
      <c r="M1702" s="19"/>
      <c r="N1702" s="19"/>
      <c r="O1702" s="19"/>
      <c r="P1702" s="19"/>
      <c r="Q1702" s="19"/>
      <c r="R1702" s="19"/>
    </row>
    <row r="1703" spans="13:18">
      <c r="M1703" s="19"/>
      <c r="N1703" s="19"/>
      <c r="O1703" s="19"/>
      <c r="P1703" s="19"/>
      <c r="Q1703" s="19"/>
      <c r="R1703" s="19"/>
    </row>
    <row r="1704" spans="13:18">
      <c r="M1704" s="19"/>
      <c r="N1704" s="19"/>
      <c r="O1704" s="19"/>
      <c r="P1704" s="19"/>
      <c r="Q1704" s="19"/>
      <c r="R1704" s="19"/>
    </row>
    <row r="1705" spans="13:18">
      <c r="M1705" s="19"/>
      <c r="N1705" s="19"/>
      <c r="O1705" s="19"/>
      <c r="P1705" s="19"/>
      <c r="Q1705" s="19"/>
      <c r="R1705" s="19"/>
    </row>
    <row r="1706" spans="13:18">
      <c r="M1706" s="19"/>
      <c r="N1706" s="19"/>
      <c r="O1706" s="19"/>
      <c r="P1706" s="19"/>
      <c r="Q1706" s="19"/>
      <c r="R1706" s="19"/>
    </row>
    <row r="1707" spans="13:18">
      <c r="M1707" s="19"/>
      <c r="N1707" s="19"/>
      <c r="O1707" s="19"/>
      <c r="P1707" s="19"/>
      <c r="Q1707" s="19"/>
      <c r="R1707" s="19"/>
    </row>
    <row r="1708" spans="13:18">
      <c r="M1708" s="19"/>
      <c r="N1708" s="19"/>
      <c r="O1708" s="19"/>
      <c r="P1708" s="19"/>
      <c r="Q1708" s="19"/>
      <c r="R1708" s="19"/>
    </row>
    <row r="1709" spans="13:18">
      <c r="M1709" s="19"/>
      <c r="N1709" s="19"/>
      <c r="O1709" s="19"/>
      <c r="P1709" s="19"/>
      <c r="Q1709" s="19"/>
      <c r="R1709" s="19"/>
    </row>
    <row r="1710" spans="13:18">
      <c r="M1710" s="19"/>
      <c r="N1710" s="19"/>
      <c r="O1710" s="19"/>
      <c r="P1710" s="19"/>
      <c r="Q1710" s="19"/>
      <c r="R1710" s="19"/>
    </row>
    <row r="1711" spans="13:18">
      <c r="M1711" s="19"/>
      <c r="N1711" s="19"/>
      <c r="O1711" s="19"/>
      <c r="P1711" s="19"/>
      <c r="Q1711" s="19"/>
      <c r="R1711" s="19"/>
    </row>
    <row r="1712" spans="13:18">
      <c r="M1712" s="19"/>
      <c r="N1712" s="19"/>
      <c r="O1712" s="19"/>
      <c r="P1712" s="19"/>
      <c r="Q1712" s="19"/>
      <c r="R1712" s="19"/>
    </row>
    <row r="1713" spans="13:18">
      <c r="M1713" s="19"/>
      <c r="N1713" s="19"/>
      <c r="O1713" s="19"/>
      <c r="P1713" s="19"/>
      <c r="Q1713" s="19"/>
      <c r="R1713" s="19"/>
    </row>
    <row r="1714" spans="13:18">
      <c r="M1714" s="19"/>
      <c r="N1714" s="19"/>
      <c r="O1714" s="19"/>
      <c r="P1714" s="19"/>
      <c r="Q1714" s="19"/>
      <c r="R1714" s="19"/>
    </row>
    <row r="1715" spans="13:18">
      <c r="M1715" s="19"/>
      <c r="N1715" s="19"/>
      <c r="O1715" s="19"/>
      <c r="P1715" s="19"/>
      <c r="Q1715" s="19"/>
      <c r="R1715" s="19"/>
    </row>
    <row r="1716" spans="13:18">
      <c r="M1716" s="19"/>
      <c r="N1716" s="19"/>
      <c r="O1716" s="19"/>
      <c r="P1716" s="19"/>
      <c r="Q1716" s="19"/>
      <c r="R1716" s="19"/>
    </row>
    <row r="1717" spans="13:18">
      <c r="M1717" s="19"/>
      <c r="N1717" s="19"/>
      <c r="O1717" s="19"/>
      <c r="P1717" s="19"/>
      <c r="Q1717" s="19"/>
      <c r="R1717" s="19"/>
    </row>
    <row r="1718" spans="13:18">
      <c r="M1718" s="19"/>
      <c r="N1718" s="19"/>
      <c r="O1718" s="19"/>
      <c r="P1718" s="19"/>
      <c r="Q1718" s="19"/>
      <c r="R1718" s="19"/>
    </row>
    <row r="1719" spans="13:18">
      <c r="M1719" s="19"/>
      <c r="N1719" s="19"/>
      <c r="O1719" s="19"/>
      <c r="P1719" s="19"/>
      <c r="Q1719" s="19"/>
      <c r="R1719" s="19"/>
    </row>
    <row r="1720" spans="13:18">
      <c r="M1720" s="19"/>
      <c r="N1720" s="19"/>
      <c r="O1720" s="19"/>
      <c r="P1720" s="19"/>
      <c r="Q1720" s="19"/>
      <c r="R1720" s="19"/>
    </row>
    <row r="1721" spans="13:18">
      <c r="M1721" s="19"/>
      <c r="N1721" s="19"/>
      <c r="O1721" s="19"/>
      <c r="P1721" s="19"/>
      <c r="Q1721" s="19"/>
      <c r="R1721" s="19"/>
    </row>
    <row r="1722" spans="13:18">
      <c r="M1722" s="19"/>
      <c r="N1722" s="19"/>
      <c r="O1722" s="19"/>
      <c r="P1722" s="19"/>
      <c r="Q1722" s="19"/>
      <c r="R1722" s="19"/>
    </row>
    <row r="1723" spans="13:18">
      <c r="M1723" s="19"/>
      <c r="N1723" s="19"/>
      <c r="O1723" s="19"/>
      <c r="P1723" s="19"/>
      <c r="Q1723" s="19"/>
      <c r="R1723" s="19"/>
    </row>
    <row r="1724" spans="13:18">
      <c r="M1724" s="19"/>
      <c r="N1724" s="19"/>
      <c r="O1724" s="19"/>
      <c r="P1724" s="19"/>
      <c r="Q1724" s="19"/>
      <c r="R1724" s="19"/>
    </row>
    <row r="1725" spans="13:18">
      <c r="M1725" s="19"/>
      <c r="N1725" s="19"/>
      <c r="O1725" s="19"/>
      <c r="P1725" s="19"/>
      <c r="Q1725" s="19"/>
      <c r="R1725" s="19"/>
    </row>
    <row r="1726" spans="13:18">
      <c r="M1726" s="19"/>
      <c r="N1726" s="19"/>
      <c r="O1726" s="19"/>
      <c r="P1726" s="19"/>
      <c r="Q1726" s="19"/>
      <c r="R1726" s="19"/>
    </row>
    <row r="1727" spans="13:18">
      <c r="M1727" s="19"/>
      <c r="N1727" s="19"/>
      <c r="O1727" s="19"/>
      <c r="P1727" s="19"/>
      <c r="Q1727" s="19"/>
      <c r="R1727" s="19"/>
    </row>
    <row r="1728" spans="13:18">
      <c r="M1728" s="19"/>
      <c r="N1728" s="19"/>
      <c r="O1728" s="19"/>
      <c r="P1728" s="19"/>
      <c r="Q1728" s="19"/>
      <c r="R1728" s="19"/>
    </row>
    <row r="1729" spans="13:18">
      <c r="M1729" s="19"/>
      <c r="N1729" s="19"/>
      <c r="O1729" s="19"/>
      <c r="P1729" s="19"/>
      <c r="Q1729" s="19"/>
      <c r="R1729" s="19"/>
    </row>
    <row r="1730" spans="13:18">
      <c r="M1730" s="19"/>
      <c r="N1730" s="19"/>
      <c r="O1730" s="19"/>
      <c r="P1730" s="19"/>
      <c r="Q1730" s="19"/>
      <c r="R1730" s="19"/>
    </row>
    <row r="1731" spans="13:18">
      <c r="M1731" s="19"/>
      <c r="N1731" s="19"/>
      <c r="O1731" s="19"/>
      <c r="P1731" s="19"/>
      <c r="Q1731" s="19"/>
      <c r="R1731" s="19"/>
    </row>
    <row r="1732" spans="13:18">
      <c r="M1732" s="19"/>
      <c r="N1732" s="19"/>
      <c r="O1732" s="19"/>
      <c r="P1732" s="19"/>
      <c r="Q1732" s="19"/>
      <c r="R1732" s="19"/>
    </row>
    <row r="1733" spans="13:18">
      <c r="M1733" s="19"/>
      <c r="N1733" s="19"/>
      <c r="O1733" s="19"/>
      <c r="P1733" s="19"/>
      <c r="Q1733" s="19"/>
      <c r="R1733" s="19"/>
    </row>
    <row r="1734" spans="13:18">
      <c r="M1734" s="19"/>
      <c r="N1734" s="19"/>
      <c r="O1734" s="19"/>
      <c r="P1734" s="19"/>
      <c r="Q1734" s="19"/>
      <c r="R1734" s="19"/>
    </row>
    <row r="1735" spans="13:18">
      <c r="M1735" s="19"/>
      <c r="N1735" s="19"/>
      <c r="O1735" s="19"/>
      <c r="P1735" s="19"/>
      <c r="Q1735" s="19"/>
      <c r="R1735" s="19"/>
    </row>
    <row r="1736" spans="13:18">
      <c r="M1736" s="19"/>
      <c r="N1736" s="19"/>
      <c r="O1736" s="19"/>
      <c r="P1736" s="19"/>
      <c r="Q1736" s="19"/>
      <c r="R1736" s="19"/>
    </row>
    <row r="1737" spans="13:18">
      <c r="M1737" s="19"/>
      <c r="N1737" s="19"/>
      <c r="O1737" s="19"/>
      <c r="P1737" s="19"/>
      <c r="Q1737" s="19"/>
      <c r="R1737" s="19"/>
    </row>
    <row r="1738" spans="13:18">
      <c r="M1738" s="19"/>
      <c r="N1738" s="19"/>
      <c r="O1738" s="19"/>
      <c r="P1738" s="19"/>
      <c r="Q1738" s="19"/>
      <c r="R1738" s="19"/>
    </row>
    <row r="1739" spans="13:18">
      <c r="M1739" s="19"/>
      <c r="N1739" s="19"/>
      <c r="O1739" s="19"/>
      <c r="P1739" s="19"/>
      <c r="Q1739" s="19"/>
      <c r="R1739" s="19"/>
    </row>
    <row r="1740" spans="13:18">
      <c r="M1740" s="19"/>
      <c r="N1740" s="19"/>
      <c r="O1740" s="19"/>
      <c r="P1740" s="19"/>
      <c r="Q1740" s="19"/>
      <c r="R1740" s="19"/>
    </row>
    <row r="1741" spans="13:18">
      <c r="M1741" s="19"/>
      <c r="N1741" s="19"/>
      <c r="O1741" s="19"/>
      <c r="P1741" s="19"/>
      <c r="Q1741" s="19"/>
      <c r="R1741" s="19"/>
    </row>
    <row r="1742" spans="13:18">
      <c r="M1742" s="19"/>
      <c r="N1742" s="19"/>
      <c r="O1742" s="19"/>
      <c r="P1742" s="19"/>
      <c r="Q1742" s="19"/>
      <c r="R1742" s="19"/>
    </row>
    <row r="1743" spans="13:18">
      <c r="M1743" s="19"/>
      <c r="N1743" s="19"/>
      <c r="O1743" s="19"/>
      <c r="P1743" s="19"/>
      <c r="Q1743" s="19"/>
      <c r="R1743" s="19"/>
    </row>
    <row r="1744" spans="13:18">
      <c r="M1744" s="19"/>
      <c r="N1744" s="19"/>
      <c r="O1744" s="19"/>
      <c r="P1744" s="19"/>
      <c r="Q1744" s="19"/>
      <c r="R1744" s="19"/>
    </row>
    <row r="1745" spans="13:18">
      <c r="M1745" s="19"/>
      <c r="N1745" s="19"/>
      <c r="O1745" s="19"/>
      <c r="P1745" s="19"/>
      <c r="Q1745" s="19"/>
      <c r="R1745" s="19"/>
    </row>
    <row r="1746" spans="13:18">
      <c r="M1746" s="19"/>
      <c r="N1746" s="19"/>
      <c r="O1746" s="19"/>
      <c r="P1746" s="19"/>
      <c r="Q1746" s="19"/>
      <c r="R1746" s="19"/>
    </row>
    <row r="1747" spans="13:18">
      <c r="M1747" s="19"/>
      <c r="N1747" s="19"/>
      <c r="O1747" s="19"/>
      <c r="P1747" s="19"/>
      <c r="Q1747" s="19"/>
      <c r="R1747" s="19"/>
    </row>
    <row r="1748" spans="13:18">
      <c r="M1748" s="19"/>
      <c r="N1748" s="19"/>
      <c r="O1748" s="19"/>
      <c r="P1748" s="19"/>
      <c r="Q1748" s="19"/>
      <c r="R1748" s="19"/>
    </row>
    <row r="1749" spans="13:18">
      <c r="M1749" s="19"/>
      <c r="N1749" s="19"/>
      <c r="O1749" s="19"/>
      <c r="P1749" s="19"/>
      <c r="Q1749" s="19"/>
      <c r="R1749" s="19"/>
    </row>
    <row r="1750" spans="13:18">
      <c r="M1750" s="19"/>
      <c r="N1750" s="19"/>
      <c r="O1750" s="19"/>
      <c r="P1750" s="19"/>
      <c r="Q1750" s="19"/>
      <c r="R1750" s="19"/>
    </row>
    <row r="1751" spans="13:18">
      <c r="M1751" s="19"/>
      <c r="N1751" s="19"/>
      <c r="O1751" s="19"/>
      <c r="P1751" s="19"/>
      <c r="Q1751" s="19"/>
      <c r="R1751" s="19"/>
    </row>
    <row r="1752" spans="13:18">
      <c r="M1752" s="19"/>
      <c r="N1752" s="19"/>
      <c r="O1752" s="19"/>
      <c r="P1752" s="19"/>
      <c r="Q1752" s="19"/>
      <c r="R1752" s="19"/>
    </row>
    <row r="1753" spans="13:18">
      <c r="M1753" s="19"/>
      <c r="N1753" s="19"/>
      <c r="O1753" s="19"/>
      <c r="P1753" s="19"/>
      <c r="Q1753" s="19"/>
      <c r="R1753" s="19"/>
    </row>
    <row r="1754" spans="13:18">
      <c r="M1754" s="19"/>
      <c r="N1754" s="19"/>
      <c r="O1754" s="19"/>
      <c r="P1754" s="19"/>
      <c r="Q1754" s="19"/>
      <c r="R1754" s="19"/>
    </row>
    <row r="1755" spans="13:18">
      <c r="M1755" s="19"/>
      <c r="N1755" s="19"/>
      <c r="O1755" s="19"/>
      <c r="P1755" s="19"/>
      <c r="Q1755" s="19"/>
      <c r="R1755" s="19"/>
    </row>
    <row r="1756" spans="13:18">
      <c r="M1756" s="19"/>
      <c r="N1756" s="19"/>
      <c r="O1756" s="19"/>
      <c r="P1756" s="19"/>
      <c r="Q1756" s="19"/>
      <c r="R1756" s="19"/>
    </row>
    <row r="1757" spans="13:18">
      <c r="M1757" s="19"/>
      <c r="N1757" s="19"/>
      <c r="O1757" s="19"/>
      <c r="P1757" s="19"/>
      <c r="Q1757" s="19"/>
      <c r="R1757" s="19"/>
    </row>
    <row r="1758" spans="13:18">
      <c r="M1758" s="19"/>
      <c r="N1758" s="19"/>
      <c r="O1758" s="19"/>
      <c r="P1758" s="19"/>
      <c r="Q1758" s="19"/>
      <c r="R1758" s="19"/>
    </row>
    <row r="1759" spans="13:18">
      <c r="M1759" s="19"/>
      <c r="N1759" s="19"/>
      <c r="O1759" s="19"/>
      <c r="P1759" s="19"/>
      <c r="Q1759" s="19"/>
      <c r="R1759" s="19"/>
    </row>
    <row r="1760" spans="13:18">
      <c r="M1760" s="19"/>
      <c r="N1760" s="19"/>
      <c r="O1760" s="19"/>
      <c r="P1760" s="19"/>
      <c r="Q1760" s="19"/>
      <c r="R1760" s="19"/>
    </row>
    <row r="1761" spans="13:18">
      <c r="M1761" s="19"/>
      <c r="N1761" s="19"/>
      <c r="O1761" s="19"/>
      <c r="P1761" s="19"/>
      <c r="Q1761" s="19"/>
      <c r="R1761" s="19"/>
    </row>
    <row r="1762" spans="13:18">
      <c r="M1762" s="19"/>
      <c r="N1762" s="19"/>
      <c r="O1762" s="19"/>
      <c r="P1762" s="19"/>
      <c r="Q1762" s="19"/>
      <c r="R1762" s="19"/>
    </row>
    <row r="1763" spans="13:18">
      <c r="M1763" s="19"/>
      <c r="N1763" s="19"/>
      <c r="O1763" s="19"/>
      <c r="P1763" s="19"/>
      <c r="Q1763" s="19"/>
      <c r="R1763" s="19"/>
    </row>
    <row r="1764" spans="13:18">
      <c r="M1764" s="19"/>
      <c r="N1764" s="19"/>
      <c r="O1764" s="19"/>
      <c r="P1764" s="19"/>
      <c r="Q1764" s="19"/>
      <c r="R1764" s="19"/>
    </row>
    <row r="1765" spans="13:18">
      <c r="M1765" s="19"/>
      <c r="N1765" s="19"/>
      <c r="O1765" s="19"/>
      <c r="P1765" s="19"/>
      <c r="Q1765" s="19"/>
      <c r="R1765" s="19"/>
    </row>
    <row r="1766" spans="13:18">
      <c r="M1766" s="19"/>
      <c r="N1766" s="19"/>
      <c r="O1766" s="19"/>
      <c r="P1766" s="19"/>
      <c r="Q1766" s="19"/>
      <c r="R1766" s="19"/>
    </row>
    <row r="1767" spans="13:18">
      <c r="M1767" s="19"/>
      <c r="N1767" s="19"/>
      <c r="O1767" s="19"/>
      <c r="P1767" s="19"/>
      <c r="Q1767" s="19"/>
      <c r="R1767" s="19"/>
    </row>
    <row r="1768" spans="13:18">
      <c r="M1768" s="19"/>
      <c r="N1768" s="19"/>
      <c r="O1768" s="19"/>
      <c r="P1768" s="19"/>
      <c r="Q1768" s="19"/>
      <c r="R1768" s="19"/>
    </row>
    <row r="1769" spans="13:18">
      <c r="M1769" s="19"/>
      <c r="N1769" s="19"/>
      <c r="O1769" s="19"/>
      <c r="P1769" s="19"/>
      <c r="Q1769" s="19"/>
      <c r="R1769" s="19"/>
    </row>
    <row r="1770" spans="13:18">
      <c r="M1770" s="19"/>
      <c r="N1770" s="19"/>
      <c r="O1770" s="19"/>
      <c r="P1770" s="19"/>
      <c r="Q1770" s="19"/>
      <c r="R1770" s="19"/>
    </row>
    <row r="1771" spans="13:18">
      <c r="M1771" s="19"/>
      <c r="N1771" s="19"/>
      <c r="O1771" s="19"/>
      <c r="P1771" s="19"/>
      <c r="Q1771" s="19"/>
      <c r="R1771" s="19"/>
    </row>
    <row r="1772" spans="13:18">
      <c r="M1772" s="19"/>
      <c r="N1772" s="19"/>
      <c r="O1772" s="19"/>
      <c r="P1772" s="19"/>
      <c r="Q1772" s="19"/>
      <c r="R1772" s="19"/>
    </row>
    <row r="1773" spans="13:18">
      <c r="M1773" s="19"/>
      <c r="N1773" s="19"/>
      <c r="O1773" s="19"/>
      <c r="P1773" s="19"/>
      <c r="Q1773" s="19"/>
      <c r="R1773" s="19"/>
    </row>
    <row r="1774" spans="13:18">
      <c r="M1774" s="19"/>
      <c r="N1774" s="19"/>
      <c r="O1774" s="19"/>
      <c r="P1774" s="19"/>
      <c r="Q1774" s="19"/>
      <c r="R1774" s="19"/>
    </row>
    <row r="1775" spans="13:18">
      <c r="M1775" s="19"/>
      <c r="N1775" s="19"/>
      <c r="O1775" s="19"/>
      <c r="P1775" s="19"/>
      <c r="Q1775" s="19"/>
      <c r="R1775" s="19"/>
    </row>
    <row r="1776" spans="13:18">
      <c r="M1776" s="19"/>
      <c r="N1776" s="19"/>
      <c r="O1776" s="19"/>
      <c r="P1776" s="19"/>
      <c r="Q1776" s="19"/>
      <c r="R1776" s="19"/>
    </row>
    <row r="1777" spans="13:18">
      <c r="M1777" s="19"/>
      <c r="N1777" s="19"/>
      <c r="O1777" s="19"/>
      <c r="P1777" s="19"/>
      <c r="Q1777" s="19"/>
      <c r="R1777" s="19"/>
    </row>
    <row r="1778" spans="13:18">
      <c r="M1778" s="19"/>
      <c r="N1778" s="19"/>
      <c r="O1778" s="19"/>
      <c r="P1778" s="19"/>
      <c r="Q1778" s="19"/>
      <c r="R1778" s="19"/>
    </row>
    <row r="1779" spans="13:18">
      <c r="M1779" s="19"/>
      <c r="N1779" s="19"/>
      <c r="O1779" s="19"/>
      <c r="P1779" s="19"/>
      <c r="Q1779" s="19"/>
      <c r="R1779" s="19"/>
    </row>
    <row r="1780" spans="13:18">
      <c r="M1780" s="19"/>
      <c r="N1780" s="19"/>
      <c r="O1780" s="19"/>
      <c r="P1780" s="19"/>
      <c r="Q1780" s="19"/>
      <c r="R1780" s="19"/>
    </row>
    <row r="1781" spans="13:18">
      <c r="M1781" s="19"/>
      <c r="N1781" s="19"/>
      <c r="O1781" s="19"/>
      <c r="P1781" s="19"/>
      <c r="Q1781" s="19"/>
      <c r="R1781" s="19"/>
    </row>
    <row r="1782" spans="13:18">
      <c r="M1782" s="19"/>
      <c r="N1782" s="19"/>
      <c r="O1782" s="19"/>
      <c r="P1782" s="19"/>
      <c r="Q1782" s="19"/>
      <c r="R1782" s="19"/>
    </row>
    <row r="1783" spans="13:18">
      <c r="M1783" s="19"/>
      <c r="N1783" s="19"/>
      <c r="O1783" s="19"/>
      <c r="P1783" s="19"/>
      <c r="Q1783" s="19"/>
      <c r="R1783" s="19"/>
    </row>
    <row r="1784" spans="13:18">
      <c r="M1784" s="19"/>
      <c r="N1784" s="19"/>
      <c r="O1784" s="19"/>
      <c r="P1784" s="19"/>
      <c r="Q1784" s="19"/>
      <c r="R1784" s="19"/>
    </row>
    <row r="1785" spans="13:18">
      <c r="M1785" s="19"/>
      <c r="N1785" s="19"/>
      <c r="O1785" s="19"/>
      <c r="P1785" s="19"/>
      <c r="Q1785" s="19"/>
      <c r="R1785" s="19"/>
    </row>
    <row r="1786" spans="13:18">
      <c r="M1786" s="19"/>
      <c r="N1786" s="19"/>
      <c r="O1786" s="19"/>
      <c r="P1786" s="19"/>
      <c r="Q1786" s="19"/>
      <c r="R1786" s="19"/>
    </row>
    <row r="1787" spans="13:18">
      <c r="M1787" s="19"/>
      <c r="N1787" s="19"/>
      <c r="O1787" s="19"/>
      <c r="P1787" s="19"/>
      <c r="Q1787" s="19"/>
      <c r="R1787" s="19"/>
    </row>
    <row r="1788" spans="13:18">
      <c r="M1788" s="19"/>
      <c r="N1788" s="19"/>
      <c r="O1788" s="19"/>
      <c r="P1788" s="19"/>
      <c r="Q1788" s="19"/>
      <c r="R1788" s="19"/>
    </row>
    <row r="1789" spans="13:18">
      <c r="M1789" s="19"/>
      <c r="N1789" s="19"/>
      <c r="O1789" s="19"/>
      <c r="P1789" s="19"/>
      <c r="Q1789" s="19"/>
      <c r="R1789" s="19"/>
    </row>
    <row r="1790" spans="13:18">
      <c r="M1790" s="19"/>
      <c r="N1790" s="19"/>
      <c r="O1790" s="19"/>
      <c r="P1790" s="19"/>
      <c r="Q1790" s="19"/>
      <c r="R1790" s="19"/>
    </row>
    <row r="1791" spans="13:18">
      <c r="M1791" s="19"/>
      <c r="N1791" s="19"/>
      <c r="O1791" s="19"/>
      <c r="P1791" s="19"/>
      <c r="Q1791" s="19"/>
      <c r="R1791" s="19"/>
    </row>
    <row r="1792" spans="13:18">
      <c r="M1792" s="19"/>
      <c r="N1792" s="19"/>
      <c r="O1792" s="19"/>
      <c r="P1792" s="19"/>
      <c r="Q1792" s="19"/>
      <c r="R1792" s="19"/>
    </row>
    <row r="1793" spans="13:18">
      <c r="M1793" s="19"/>
      <c r="N1793" s="19"/>
      <c r="O1793" s="19"/>
      <c r="P1793" s="19"/>
      <c r="Q1793" s="19"/>
      <c r="R1793" s="19"/>
    </row>
    <row r="1794" spans="13:18">
      <c r="M1794" s="19"/>
      <c r="N1794" s="19"/>
      <c r="O1794" s="19"/>
      <c r="P1794" s="19"/>
      <c r="Q1794" s="19"/>
      <c r="R1794" s="19"/>
    </row>
    <row r="1795" spans="13:18">
      <c r="M1795" s="19"/>
      <c r="N1795" s="19"/>
      <c r="O1795" s="19"/>
      <c r="P1795" s="19"/>
      <c r="Q1795" s="19"/>
      <c r="R1795" s="19"/>
    </row>
    <row r="1796" spans="13:18">
      <c r="M1796" s="19"/>
      <c r="N1796" s="19"/>
      <c r="O1796" s="19"/>
      <c r="P1796" s="19"/>
      <c r="Q1796" s="19"/>
      <c r="R1796" s="19"/>
    </row>
    <row r="1797" spans="13:18">
      <c r="M1797" s="19"/>
      <c r="N1797" s="19"/>
      <c r="O1797" s="19"/>
      <c r="P1797" s="19"/>
      <c r="Q1797" s="19"/>
      <c r="R1797" s="19"/>
    </row>
    <row r="1798" spans="13:18">
      <c r="M1798" s="19"/>
      <c r="N1798" s="19"/>
      <c r="O1798" s="19"/>
      <c r="P1798" s="19"/>
      <c r="Q1798" s="19"/>
      <c r="R1798" s="19"/>
    </row>
    <row r="1799" spans="13:18">
      <c r="M1799" s="19"/>
      <c r="N1799" s="19"/>
      <c r="O1799" s="19"/>
      <c r="P1799" s="19"/>
      <c r="Q1799" s="19"/>
      <c r="R1799" s="19"/>
    </row>
    <row r="1800" spans="13:18">
      <c r="M1800" s="19"/>
      <c r="N1800" s="19"/>
      <c r="O1800" s="19"/>
      <c r="P1800" s="19"/>
      <c r="Q1800" s="19"/>
      <c r="R1800" s="19"/>
    </row>
    <row r="1801" spans="13:18">
      <c r="M1801" s="19"/>
      <c r="N1801" s="19"/>
      <c r="O1801" s="19"/>
      <c r="P1801" s="19"/>
      <c r="Q1801" s="19"/>
      <c r="R1801" s="19"/>
    </row>
    <row r="1802" spans="13:18">
      <c r="M1802" s="19"/>
      <c r="N1802" s="19"/>
      <c r="O1802" s="19"/>
      <c r="P1802" s="19"/>
      <c r="Q1802" s="19"/>
      <c r="R1802" s="19"/>
    </row>
    <row r="1803" spans="13:18">
      <c r="M1803" s="19"/>
      <c r="N1803" s="19"/>
      <c r="O1803" s="19"/>
      <c r="P1803" s="19"/>
      <c r="Q1803" s="19"/>
      <c r="R1803" s="19"/>
    </row>
    <row r="1804" spans="13:18">
      <c r="M1804" s="19"/>
      <c r="N1804" s="19"/>
      <c r="O1804" s="19"/>
      <c r="P1804" s="19"/>
      <c r="Q1804" s="19"/>
      <c r="R1804" s="19"/>
    </row>
    <row r="1805" spans="13:18">
      <c r="M1805" s="19"/>
      <c r="N1805" s="19"/>
      <c r="O1805" s="19"/>
      <c r="P1805" s="19"/>
      <c r="Q1805" s="19"/>
      <c r="R1805" s="19"/>
    </row>
    <row r="1806" spans="13:18">
      <c r="M1806" s="19"/>
      <c r="N1806" s="19"/>
      <c r="O1806" s="19"/>
      <c r="P1806" s="19"/>
      <c r="Q1806" s="19"/>
      <c r="R1806" s="19"/>
    </row>
    <row r="1807" spans="13:18">
      <c r="M1807" s="19"/>
      <c r="N1807" s="19"/>
      <c r="O1807" s="19"/>
      <c r="P1807" s="19"/>
      <c r="Q1807" s="19"/>
      <c r="R1807" s="19"/>
    </row>
    <row r="1808" spans="13:18">
      <c r="M1808" s="19"/>
      <c r="N1808" s="19"/>
      <c r="O1808" s="19"/>
      <c r="P1808" s="19"/>
      <c r="Q1808" s="19"/>
      <c r="R1808" s="19"/>
    </row>
    <row r="1809" spans="13:18">
      <c r="M1809" s="19"/>
      <c r="N1809" s="19"/>
      <c r="O1809" s="19"/>
      <c r="P1809" s="19"/>
      <c r="Q1809" s="19"/>
      <c r="R1809" s="19"/>
    </row>
    <row r="1810" spans="13:18">
      <c r="M1810" s="19"/>
      <c r="N1810" s="19"/>
      <c r="O1810" s="19"/>
      <c r="P1810" s="19"/>
      <c r="Q1810" s="19"/>
      <c r="R1810" s="19"/>
    </row>
    <row r="1811" spans="13:18">
      <c r="M1811" s="19"/>
      <c r="N1811" s="19"/>
      <c r="O1811" s="19"/>
      <c r="P1811" s="19"/>
      <c r="Q1811" s="19"/>
      <c r="R1811" s="19"/>
    </row>
    <row r="1812" spans="13:18">
      <c r="M1812" s="19"/>
      <c r="N1812" s="19"/>
      <c r="O1812" s="19"/>
      <c r="P1812" s="19"/>
      <c r="Q1812" s="19"/>
      <c r="R1812" s="19"/>
    </row>
    <row r="1813" spans="13:18">
      <c r="M1813" s="19"/>
      <c r="N1813" s="19"/>
      <c r="O1813" s="19"/>
      <c r="P1813" s="19"/>
      <c r="Q1813" s="19"/>
      <c r="R1813" s="19"/>
    </row>
    <row r="1814" spans="13:18">
      <c r="M1814" s="19"/>
      <c r="N1814" s="19"/>
      <c r="O1814" s="19"/>
      <c r="P1814" s="19"/>
      <c r="Q1814" s="19"/>
      <c r="R1814" s="19"/>
    </row>
    <row r="1815" spans="13:18">
      <c r="M1815" s="19"/>
      <c r="N1815" s="19"/>
      <c r="O1815" s="19"/>
      <c r="P1815" s="19"/>
      <c r="Q1815" s="19"/>
      <c r="R1815" s="19"/>
    </row>
    <row r="1816" spans="13:18">
      <c r="M1816" s="19"/>
      <c r="N1816" s="19"/>
      <c r="O1816" s="19"/>
      <c r="P1816" s="19"/>
      <c r="Q1816" s="19"/>
      <c r="R1816" s="19"/>
    </row>
    <row r="1817" spans="13:18">
      <c r="M1817" s="19"/>
      <c r="N1817" s="19"/>
      <c r="O1817" s="19"/>
      <c r="P1817" s="19"/>
      <c r="Q1817" s="19"/>
      <c r="R1817" s="19"/>
    </row>
    <row r="1818" spans="13:18">
      <c r="M1818" s="19"/>
      <c r="N1818" s="19"/>
      <c r="O1818" s="19"/>
      <c r="P1818" s="19"/>
      <c r="Q1818" s="19"/>
      <c r="R1818" s="19"/>
    </row>
    <row r="1819" spans="13:18">
      <c r="M1819" s="19"/>
      <c r="N1819" s="19"/>
      <c r="O1819" s="19"/>
      <c r="P1819" s="19"/>
      <c r="Q1819" s="19"/>
      <c r="R1819" s="19"/>
    </row>
    <row r="1820" spans="13:18">
      <c r="M1820" s="19"/>
      <c r="N1820" s="19"/>
      <c r="O1820" s="19"/>
      <c r="P1820" s="19"/>
      <c r="Q1820" s="19"/>
      <c r="R1820" s="19"/>
    </row>
    <row r="1821" spans="13:18">
      <c r="M1821" s="19"/>
      <c r="N1821" s="19"/>
      <c r="O1821" s="19"/>
      <c r="P1821" s="19"/>
      <c r="Q1821" s="19"/>
      <c r="R1821" s="19"/>
    </row>
    <row r="1822" spans="13:18">
      <c r="M1822" s="19"/>
      <c r="N1822" s="19"/>
      <c r="O1822" s="19"/>
      <c r="P1822" s="19"/>
      <c r="Q1822" s="19"/>
      <c r="R1822" s="19"/>
    </row>
    <row r="1823" spans="13:18">
      <c r="M1823" s="19"/>
      <c r="N1823" s="19"/>
      <c r="O1823" s="19"/>
      <c r="P1823" s="19"/>
      <c r="Q1823" s="19"/>
      <c r="R1823" s="19"/>
    </row>
    <row r="1824" spans="13:18">
      <c r="M1824" s="19"/>
      <c r="N1824" s="19"/>
      <c r="O1824" s="19"/>
      <c r="P1824" s="19"/>
      <c r="Q1824" s="19"/>
      <c r="R1824" s="19"/>
    </row>
    <row r="1825" spans="13:18">
      <c r="M1825" s="19"/>
      <c r="N1825" s="19"/>
      <c r="O1825" s="19"/>
      <c r="P1825" s="19"/>
      <c r="Q1825" s="19"/>
      <c r="R1825" s="19"/>
    </row>
    <row r="1826" spans="13:18">
      <c r="M1826" s="19"/>
      <c r="N1826" s="19"/>
      <c r="O1826" s="19"/>
      <c r="P1826" s="19"/>
      <c r="Q1826" s="19"/>
      <c r="R1826" s="19"/>
    </row>
    <row r="1827" spans="13:18">
      <c r="M1827" s="19"/>
      <c r="N1827" s="19"/>
      <c r="O1827" s="19"/>
      <c r="P1827" s="19"/>
      <c r="Q1827" s="19"/>
      <c r="R1827" s="19"/>
    </row>
    <row r="1828" spans="13:18">
      <c r="M1828" s="19"/>
      <c r="N1828" s="19"/>
      <c r="O1828" s="19"/>
      <c r="P1828" s="19"/>
      <c r="Q1828" s="19"/>
      <c r="R1828" s="19"/>
    </row>
    <row r="1829" spans="13:18">
      <c r="M1829" s="19"/>
      <c r="N1829" s="19"/>
      <c r="O1829" s="19"/>
      <c r="P1829" s="19"/>
      <c r="Q1829" s="19"/>
      <c r="R1829" s="19"/>
    </row>
    <row r="1830" spans="13:18">
      <c r="M1830" s="19"/>
      <c r="N1830" s="19"/>
      <c r="O1830" s="19"/>
      <c r="P1830" s="19"/>
      <c r="Q1830" s="19"/>
      <c r="R1830" s="19"/>
    </row>
    <row r="1831" spans="13:18">
      <c r="M1831" s="19"/>
      <c r="N1831" s="19"/>
      <c r="O1831" s="19"/>
      <c r="P1831" s="19"/>
      <c r="Q1831" s="19"/>
      <c r="R1831" s="19"/>
    </row>
    <row r="1832" spans="13:18">
      <c r="M1832" s="19"/>
      <c r="N1832" s="19"/>
      <c r="O1832" s="19"/>
      <c r="P1832" s="19"/>
      <c r="Q1832" s="19"/>
      <c r="R1832" s="19"/>
    </row>
    <row r="1833" spans="13:18">
      <c r="M1833" s="19"/>
      <c r="N1833" s="19"/>
      <c r="O1833" s="19"/>
      <c r="P1833" s="19"/>
      <c r="Q1833" s="19"/>
      <c r="R1833" s="19"/>
    </row>
    <row r="1834" spans="13:18">
      <c r="M1834" s="19"/>
      <c r="N1834" s="19"/>
      <c r="O1834" s="19"/>
      <c r="P1834" s="19"/>
      <c r="Q1834" s="19"/>
      <c r="R1834" s="19"/>
    </row>
    <row r="1835" spans="13:18">
      <c r="M1835" s="19"/>
      <c r="N1835" s="19"/>
      <c r="O1835" s="19"/>
      <c r="P1835" s="19"/>
      <c r="Q1835" s="19"/>
      <c r="R1835" s="19"/>
    </row>
    <row r="1836" spans="13:18">
      <c r="M1836" s="19"/>
      <c r="N1836" s="19"/>
      <c r="O1836" s="19"/>
      <c r="P1836" s="19"/>
      <c r="Q1836" s="19"/>
      <c r="R1836" s="19"/>
    </row>
    <row r="1837" spans="13:18">
      <c r="M1837" s="19"/>
      <c r="N1837" s="19"/>
      <c r="O1837" s="19"/>
      <c r="P1837" s="19"/>
      <c r="Q1837" s="19"/>
      <c r="R1837" s="19"/>
    </row>
    <row r="1838" spans="13:18">
      <c r="M1838" s="19"/>
      <c r="N1838" s="19"/>
      <c r="O1838" s="19"/>
      <c r="P1838" s="19"/>
      <c r="Q1838" s="19"/>
      <c r="R1838" s="19"/>
    </row>
    <row r="1839" spans="13:18">
      <c r="M1839" s="19"/>
      <c r="N1839" s="19"/>
      <c r="O1839" s="19"/>
      <c r="P1839" s="19"/>
      <c r="Q1839" s="19"/>
      <c r="R1839" s="19"/>
    </row>
    <row r="1840" spans="13:18">
      <c r="M1840" s="19"/>
      <c r="N1840" s="19"/>
      <c r="O1840" s="19"/>
      <c r="P1840" s="19"/>
      <c r="Q1840" s="19"/>
      <c r="R1840" s="19"/>
    </row>
    <row r="1841" spans="13:18">
      <c r="M1841" s="19"/>
      <c r="N1841" s="19"/>
      <c r="O1841" s="19"/>
      <c r="P1841" s="19"/>
      <c r="Q1841" s="19"/>
      <c r="R1841" s="19"/>
    </row>
    <row r="1842" spans="13:18">
      <c r="M1842" s="19"/>
      <c r="N1842" s="19"/>
      <c r="O1842" s="19"/>
      <c r="P1842" s="19"/>
      <c r="Q1842" s="19"/>
      <c r="R1842" s="19"/>
    </row>
    <row r="1843" spans="13:18">
      <c r="M1843" s="19"/>
      <c r="N1843" s="19"/>
      <c r="O1843" s="19"/>
      <c r="P1843" s="19"/>
      <c r="Q1843" s="19"/>
      <c r="R1843" s="19"/>
    </row>
    <row r="1844" spans="13:18">
      <c r="M1844" s="19"/>
      <c r="N1844" s="19"/>
      <c r="O1844" s="19"/>
      <c r="P1844" s="19"/>
      <c r="Q1844" s="19"/>
      <c r="R1844" s="19"/>
    </row>
    <row r="1845" spans="13:18">
      <c r="M1845" s="19"/>
      <c r="N1845" s="19"/>
      <c r="O1845" s="19"/>
      <c r="P1845" s="19"/>
      <c r="Q1845" s="19"/>
      <c r="R1845" s="19"/>
    </row>
    <row r="1846" spans="13:18">
      <c r="M1846" s="19"/>
      <c r="N1846" s="19"/>
      <c r="O1846" s="19"/>
      <c r="P1846" s="19"/>
      <c r="Q1846" s="19"/>
      <c r="R1846" s="19"/>
    </row>
    <row r="1847" spans="13:18">
      <c r="M1847" s="19"/>
      <c r="N1847" s="19"/>
      <c r="O1847" s="19"/>
      <c r="P1847" s="19"/>
      <c r="Q1847" s="19"/>
      <c r="R1847" s="19"/>
    </row>
    <row r="1848" spans="13:18">
      <c r="M1848" s="19"/>
      <c r="N1848" s="19"/>
      <c r="O1848" s="19"/>
      <c r="P1848" s="19"/>
      <c r="Q1848" s="19"/>
      <c r="R1848" s="19"/>
    </row>
    <row r="1849" spans="13:18">
      <c r="M1849" s="19"/>
      <c r="N1849" s="19"/>
      <c r="O1849" s="19"/>
      <c r="P1849" s="19"/>
      <c r="Q1849" s="19"/>
      <c r="R1849" s="19"/>
    </row>
    <row r="1850" spans="13:18">
      <c r="M1850" s="19"/>
      <c r="N1850" s="19"/>
      <c r="O1850" s="19"/>
      <c r="P1850" s="19"/>
      <c r="Q1850" s="19"/>
      <c r="R1850" s="19"/>
    </row>
    <row r="1851" spans="13:18">
      <c r="M1851" s="19"/>
      <c r="N1851" s="19"/>
      <c r="O1851" s="19"/>
      <c r="P1851" s="19"/>
      <c r="Q1851" s="19"/>
      <c r="R1851" s="19"/>
    </row>
    <row r="1852" spans="13:18">
      <c r="M1852" s="19"/>
      <c r="N1852" s="19"/>
      <c r="O1852" s="19"/>
      <c r="P1852" s="19"/>
      <c r="Q1852" s="19"/>
      <c r="R1852" s="19"/>
    </row>
    <row r="1853" spans="13:18">
      <c r="M1853" s="19"/>
      <c r="N1853" s="19"/>
      <c r="O1853" s="19"/>
      <c r="P1853" s="19"/>
      <c r="Q1853" s="19"/>
      <c r="R1853" s="19"/>
    </row>
    <row r="1854" spans="13:18">
      <c r="M1854" s="19"/>
      <c r="N1854" s="19"/>
      <c r="O1854" s="19"/>
      <c r="P1854" s="19"/>
      <c r="Q1854" s="19"/>
      <c r="R1854" s="19"/>
    </row>
    <row r="1855" spans="13:18">
      <c r="M1855" s="19"/>
      <c r="N1855" s="19"/>
      <c r="O1855" s="19"/>
      <c r="P1855" s="19"/>
      <c r="Q1855" s="19"/>
      <c r="R1855" s="19"/>
    </row>
    <row r="1856" spans="13:18">
      <c r="M1856" s="19"/>
      <c r="N1856" s="19"/>
      <c r="O1856" s="19"/>
      <c r="P1856" s="19"/>
      <c r="Q1856" s="19"/>
      <c r="R1856" s="19"/>
    </row>
    <row r="1857" spans="13:18">
      <c r="M1857" s="19"/>
      <c r="N1857" s="19"/>
      <c r="O1857" s="19"/>
      <c r="P1857" s="19"/>
      <c r="Q1857" s="19"/>
      <c r="R1857" s="19"/>
    </row>
    <row r="1858" spans="13:18">
      <c r="M1858" s="19"/>
      <c r="N1858" s="19"/>
      <c r="O1858" s="19"/>
      <c r="P1858" s="19"/>
      <c r="Q1858" s="19"/>
      <c r="R1858" s="19"/>
    </row>
    <row r="1859" spans="13:18">
      <c r="M1859" s="19"/>
      <c r="N1859" s="19"/>
      <c r="O1859" s="19"/>
      <c r="P1859" s="19"/>
      <c r="Q1859" s="19"/>
      <c r="R1859" s="19"/>
    </row>
    <row r="1860" spans="13:18">
      <c r="M1860" s="19"/>
      <c r="N1860" s="19"/>
      <c r="O1860" s="19"/>
      <c r="P1860" s="19"/>
      <c r="Q1860" s="19"/>
      <c r="R1860" s="19"/>
    </row>
    <row r="1861" spans="13:18">
      <c r="M1861" s="19"/>
      <c r="N1861" s="19"/>
      <c r="O1861" s="19"/>
      <c r="P1861" s="19"/>
      <c r="Q1861" s="19"/>
      <c r="R1861" s="19"/>
    </row>
    <row r="1862" spans="13:18">
      <c r="M1862" s="19"/>
      <c r="N1862" s="19"/>
      <c r="O1862" s="19"/>
      <c r="P1862" s="19"/>
      <c r="Q1862" s="19"/>
      <c r="R1862" s="19"/>
    </row>
    <row r="1863" spans="13:18">
      <c r="M1863" s="19"/>
      <c r="N1863" s="19"/>
      <c r="O1863" s="19"/>
      <c r="P1863" s="19"/>
      <c r="Q1863" s="19"/>
      <c r="R1863" s="19"/>
    </row>
    <row r="1864" spans="13:18">
      <c r="M1864" s="19"/>
      <c r="N1864" s="19"/>
      <c r="O1864" s="19"/>
      <c r="P1864" s="19"/>
      <c r="Q1864" s="19"/>
      <c r="R1864" s="19"/>
    </row>
    <row r="1865" spans="13:18">
      <c r="M1865" s="19"/>
      <c r="N1865" s="19"/>
      <c r="O1865" s="19"/>
      <c r="P1865" s="19"/>
      <c r="Q1865" s="19"/>
      <c r="R1865" s="19"/>
    </row>
    <row r="1866" spans="13:18">
      <c r="M1866" s="19"/>
      <c r="N1866" s="19"/>
      <c r="O1866" s="19"/>
      <c r="P1866" s="19"/>
      <c r="Q1866" s="19"/>
      <c r="R1866" s="19"/>
    </row>
    <row r="1867" spans="13:18">
      <c r="M1867" s="19"/>
      <c r="N1867" s="19"/>
      <c r="O1867" s="19"/>
      <c r="P1867" s="19"/>
      <c r="Q1867" s="19"/>
      <c r="R1867" s="19"/>
    </row>
    <row r="1868" spans="13:18">
      <c r="M1868" s="19"/>
      <c r="N1868" s="19"/>
      <c r="O1868" s="19"/>
      <c r="P1868" s="19"/>
      <c r="Q1868" s="19"/>
      <c r="R1868" s="19"/>
    </row>
    <row r="1869" spans="13:18">
      <c r="M1869" s="19"/>
      <c r="N1869" s="19"/>
      <c r="O1869" s="19"/>
      <c r="P1869" s="19"/>
      <c r="Q1869" s="19"/>
      <c r="R1869" s="19"/>
    </row>
    <row r="1870" spans="13:18">
      <c r="M1870" s="19"/>
      <c r="N1870" s="19"/>
      <c r="O1870" s="19"/>
      <c r="P1870" s="19"/>
      <c r="Q1870" s="19"/>
      <c r="R1870" s="19"/>
    </row>
    <row r="1871" spans="13:18">
      <c r="M1871" s="19"/>
      <c r="N1871" s="19"/>
      <c r="O1871" s="19"/>
      <c r="P1871" s="19"/>
      <c r="Q1871" s="19"/>
      <c r="R1871" s="19"/>
    </row>
    <row r="1872" spans="13:18">
      <c r="M1872" s="19"/>
      <c r="N1872" s="19"/>
      <c r="O1872" s="19"/>
      <c r="P1872" s="19"/>
      <c r="Q1872" s="19"/>
      <c r="R1872" s="19"/>
    </row>
    <row r="1873" spans="13:18">
      <c r="M1873" s="19"/>
      <c r="N1873" s="19"/>
      <c r="O1873" s="19"/>
      <c r="P1873" s="19"/>
      <c r="Q1873" s="19"/>
      <c r="R1873" s="19"/>
    </row>
    <row r="1874" spans="13:18">
      <c r="M1874" s="19"/>
      <c r="N1874" s="19"/>
      <c r="O1874" s="19"/>
      <c r="P1874" s="19"/>
      <c r="Q1874" s="19"/>
      <c r="R1874" s="19"/>
    </row>
    <row r="1875" spans="13:18">
      <c r="M1875" s="19"/>
      <c r="N1875" s="19"/>
      <c r="O1875" s="19"/>
      <c r="P1875" s="19"/>
      <c r="Q1875" s="19"/>
      <c r="R1875" s="19"/>
    </row>
    <row r="1876" spans="13:18">
      <c r="M1876" s="19"/>
      <c r="N1876" s="19"/>
      <c r="O1876" s="19"/>
      <c r="P1876" s="19"/>
      <c r="Q1876" s="19"/>
      <c r="R1876" s="19"/>
    </row>
    <row r="1877" spans="13:18">
      <c r="M1877" s="19"/>
      <c r="N1877" s="19"/>
      <c r="O1877" s="19"/>
      <c r="P1877" s="19"/>
      <c r="Q1877" s="19"/>
      <c r="R1877" s="19"/>
    </row>
    <row r="1878" spans="13:18">
      <c r="M1878" s="19"/>
      <c r="N1878" s="19"/>
      <c r="O1878" s="19"/>
      <c r="P1878" s="19"/>
      <c r="Q1878" s="19"/>
      <c r="R1878" s="19"/>
    </row>
    <row r="1879" spans="13:18">
      <c r="M1879" s="19"/>
      <c r="N1879" s="19"/>
      <c r="O1879" s="19"/>
      <c r="P1879" s="19"/>
      <c r="Q1879" s="19"/>
      <c r="R1879" s="19"/>
    </row>
    <row r="1880" spans="13:18">
      <c r="M1880" s="19"/>
      <c r="N1880" s="19"/>
      <c r="O1880" s="19"/>
      <c r="P1880" s="19"/>
      <c r="Q1880" s="19"/>
      <c r="R1880" s="19"/>
    </row>
    <row r="1881" spans="13:18">
      <c r="M1881" s="19"/>
      <c r="N1881" s="19"/>
      <c r="O1881" s="19"/>
      <c r="P1881" s="19"/>
      <c r="Q1881" s="19"/>
      <c r="R1881" s="19"/>
    </row>
    <row r="1882" spans="13:18">
      <c r="M1882" s="19"/>
      <c r="N1882" s="19"/>
      <c r="O1882" s="19"/>
      <c r="P1882" s="19"/>
      <c r="Q1882" s="19"/>
      <c r="R1882" s="19"/>
    </row>
    <row r="1883" spans="13:18">
      <c r="M1883" s="19"/>
      <c r="N1883" s="19"/>
      <c r="O1883" s="19"/>
      <c r="P1883" s="19"/>
      <c r="Q1883" s="19"/>
      <c r="R1883" s="19"/>
    </row>
    <row r="1884" spans="13:18">
      <c r="M1884" s="19"/>
      <c r="N1884" s="19"/>
      <c r="O1884" s="19"/>
      <c r="P1884" s="19"/>
      <c r="Q1884" s="19"/>
      <c r="R1884" s="19"/>
    </row>
    <row r="1885" spans="13:18">
      <c r="M1885" s="19"/>
      <c r="N1885" s="19"/>
      <c r="O1885" s="19"/>
      <c r="P1885" s="19"/>
      <c r="Q1885" s="19"/>
      <c r="R1885" s="19"/>
    </row>
    <row r="1886" spans="13:18">
      <c r="M1886" s="19"/>
      <c r="N1886" s="19"/>
      <c r="O1886" s="19"/>
      <c r="P1886" s="19"/>
      <c r="Q1886" s="19"/>
      <c r="R1886" s="19"/>
    </row>
    <row r="1887" spans="13:18">
      <c r="M1887" s="19"/>
      <c r="N1887" s="19"/>
      <c r="O1887" s="19"/>
      <c r="P1887" s="19"/>
      <c r="Q1887" s="19"/>
      <c r="R1887" s="19"/>
    </row>
    <row r="1888" spans="13:18">
      <c r="M1888" s="19"/>
      <c r="N1888" s="19"/>
      <c r="O1888" s="19"/>
      <c r="P1888" s="19"/>
      <c r="Q1888" s="19"/>
      <c r="R1888" s="19"/>
    </row>
    <row r="1889" spans="13:18">
      <c r="M1889" s="19"/>
      <c r="N1889" s="19"/>
      <c r="O1889" s="19"/>
      <c r="P1889" s="19"/>
      <c r="Q1889" s="19"/>
      <c r="R1889" s="19"/>
    </row>
    <row r="1890" spans="13:18">
      <c r="M1890" s="19"/>
      <c r="N1890" s="19"/>
      <c r="O1890" s="19"/>
      <c r="P1890" s="19"/>
      <c r="Q1890" s="19"/>
      <c r="R1890" s="19"/>
    </row>
    <row r="1891" spans="13:18">
      <c r="M1891" s="19"/>
      <c r="N1891" s="19"/>
      <c r="O1891" s="19"/>
      <c r="P1891" s="19"/>
      <c r="Q1891" s="19"/>
      <c r="R1891" s="19"/>
    </row>
    <row r="1892" spans="13:18">
      <c r="M1892" s="19"/>
      <c r="N1892" s="19"/>
      <c r="O1892" s="19"/>
      <c r="P1892" s="19"/>
      <c r="Q1892" s="19"/>
      <c r="R1892" s="19"/>
    </row>
    <row r="1893" spans="13:18">
      <c r="M1893" s="19"/>
      <c r="N1893" s="19"/>
      <c r="O1893" s="19"/>
      <c r="P1893" s="19"/>
      <c r="Q1893" s="19"/>
      <c r="R1893" s="19"/>
    </row>
    <row r="1894" spans="13:18">
      <c r="M1894" s="19"/>
      <c r="N1894" s="19"/>
      <c r="O1894" s="19"/>
      <c r="P1894" s="19"/>
      <c r="Q1894" s="19"/>
      <c r="R1894" s="19"/>
    </row>
    <row r="1895" spans="13:18">
      <c r="M1895" s="19"/>
      <c r="N1895" s="19"/>
      <c r="O1895" s="19"/>
      <c r="P1895" s="19"/>
      <c r="Q1895" s="19"/>
      <c r="R1895" s="19"/>
    </row>
    <row r="1896" spans="13:18">
      <c r="M1896" s="19"/>
      <c r="N1896" s="19"/>
      <c r="O1896" s="19"/>
      <c r="P1896" s="19"/>
      <c r="Q1896" s="19"/>
      <c r="R1896" s="19"/>
    </row>
    <row r="1897" spans="13:18">
      <c r="M1897" s="19"/>
      <c r="N1897" s="19"/>
      <c r="O1897" s="19"/>
      <c r="P1897" s="19"/>
      <c r="Q1897" s="19"/>
      <c r="R1897" s="19"/>
    </row>
    <row r="1898" spans="13:18">
      <c r="M1898" s="19"/>
      <c r="N1898" s="19"/>
      <c r="O1898" s="19"/>
      <c r="P1898" s="19"/>
      <c r="Q1898" s="19"/>
      <c r="R1898" s="19"/>
    </row>
    <row r="1899" spans="13:18">
      <c r="M1899" s="19"/>
      <c r="N1899" s="19"/>
      <c r="O1899" s="19"/>
      <c r="P1899" s="19"/>
      <c r="Q1899" s="19"/>
      <c r="R1899" s="19"/>
    </row>
    <row r="1900" spans="13:18">
      <c r="M1900" s="19"/>
      <c r="N1900" s="19"/>
      <c r="O1900" s="19"/>
      <c r="P1900" s="19"/>
      <c r="Q1900" s="19"/>
      <c r="R1900" s="19"/>
    </row>
    <row r="1901" spans="13:18">
      <c r="M1901" s="19"/>
      <c r="N1901" s="19"/>
      <c r="O1901" s="19"/>
      <c r="P1901" s="19"/>
      <c r="Q1901" s="19"/>
      <c r="R1901" s="19"/>
    </row>
    <row r="1902" spans="13:18">
      <c r="M1902" s="19"/>
      <c r="N1902" s="19"/>
      <c r="O1902" s="19"/>
      <c r="P1902" s="19"/>
      <c r="Q1902" s="19"/>
      <c r="R1902" s="19"/>
    </row>
    <row r="1903" spans="13:18">
      <c r="M1903" s="19"/>
      <c r="N1903" s="19"/>
      <c r="O1903" s="19"/>
      <c r="P1903" s="19"/>
      <c r="Q1903" s="19"/>
      <c r="R1903" s="19"/>
    </row>
    <row r="1904" spans="13:18">
      <c r="M1904" s="19"/>
      <c r="N1904" s="19"/>
      <c r="O1904" s="19"/>
      <c r="P1904" s="19"/>
      <c r="Q1904" s="19"/>
      <c r="R1904" s="19"/>
    </row>
    <row r="1905" spans="13:18">
      <c r="M1905" s="19"/>
      <c r="N1905" s="19"/>
      <c r="O1905" s="19"/>
      <c r="P1905" s="19"/>
      <c r="Q1905" s="19"/>
      <c r="R1905" s="19"/>
    </row>
    <row r="1906" spans="13:18">
      <c r="M1906" s="19"/>
      <c r="N1906" s="19"/>
      <c r="O1906" s="19"/>
      <c r="P1906" s="19"/>
      <c r="Q1906" s="19"/>
      <c r="R1906" s="19"/>
    </row>
    <row r="1907" spans="13:18">
      <c r="M1907" s="19"/>
      <c r="N1907" s="19"/>
      <c r="O1907" s="19"/>
      <c r="P1907" s="19"/>
      <c r="Q1907" s="19"/>
      <c r="R1907" s="19"/>
    </row>
    <row r="1908" spans="13:18">
      <c r="M1908" s="19"/>
      <c r="N1908" s="19"/>
      <c r="O1908" s="19"/>
      <c r="P1908" s="19"/>
      <c r="Q1908" s="19"/>
      <c r="R1908" s="19"/>
    </row>
    <row r="1909" spans="13:18">
      <c r="M1909" s="19"/>
      <c r="N1909" s="19"/>
      <c r="O1909" s="19"/>
      <c r="P1909" s="19"/>
      <c r="Q1909" s="19"/>
      <c r="R1909" s="19"/>
    </row>
    <row r="1910" spans="13:18">
      <c r="M1910" s="19"/>
      <c r="N1910" s="19"/>
      <c r="O1910" s="19"/>
      <c r="P1910" s="19"/>
      <c r="Q1910" s="19"/>
      <c r="R1910" s="19"/>
    </row>
    <row r="1911" spans="13:18">
      <c r="M1911" s="19"/>
      <c r="N1911" s="19"/>
      <c r="O1911" s="19"/>
      <c r="P1911" s="19"/>
      <c r="Q1911" s="19"/>
      <c r="R1911" s="19"/>
    </row>
    <row r="1912" spans="13:18">
      <c r="M1912" s="19"/>
      <c r="N1912" s="19"/>
      <c r="O1912" s="19"/>
      <c r="P1912" s="19"/>
      <c r="Q1912" s="19"/>
      <c r="R1912" s="19"/>
    </row>
    <row r="1913" spans="13:18">
      <c r="M1913" s="19"/>
      <c r="N1913" s="19"/>
      <c r="O1913" s="19"/>
      <c r="P1913" s="19"/>
      <c r="Q1913" s="19"/>
      <c r="R1913" s="19"/>
    </row>
    <row r="1914" spans="13:18">
      <c r="M1914" s="19"/>
      <c r="N1914" s="19"/>
      <c r="O1914" s="19"/>
      <c r="P1914" s="19"/>
      <c r="Q1914" s="19"/>
      <c r="R1914" s="19"/>
    </row>
    <row r="1915" spans="13:18">
      <c r="M1915" s="19"/>
      <c r="N1915" s="19"/>
      <c r="O1915" s="19"/>
      <c r="P1915" s="19"/>
      <c r="Q1915" s="19"/>
      <c r="R1915" s="19"/>
    </row>
    <row r="1916" spans="13:18">
      <c r="M1916" s="19"/>
      <c r="N1916" s="19"/>
      <c r="O1916" s="19"/>
      <c r="P1916" s="19"/>
      <c r="Q1916" s="19"/>
      <c r="R1916" s="19"/>
    </row>
    <row r="1917" spans="13:18">
      <c r="M1917" s="19"/>
      <c r="N1917" s="19"/>
      <c r="O1917" s="19"/>
      <c r="P1917" s="19"/>
      <c r="Q1917" s="19"/>
      <c r="R1917" s="19"/>
    </row>
    <row r="1918" spans="13:18">
      <c r="M1918" s="19"/>
      <c r="N1918" s="19"/>
      <c r="O1918" s="19"/>
      <c r="P1918" s="19"/>
      <c r="Q1918" s="19"/>
      <c r="R1918" s="19"/>
    </row>
    <row r="1919" spans="13:18">
      <c r="M1919" s="19"/>
      <c r="N1919" s="19"/>
      <c r="O1919" s="19"/>
      <c r="P1919" s="19"/>
      <c r="Q1919" s="19"/>
      <c r="R1919" s="19"/>
    </row>
    <row r="1920" spans="13:18">
      <c r="M1920" s="19"/>
      <c r="N1920" s="19"/>
      <c r="O1920" s="19"/>
      <c r="P1920" s="19"/>
      <c r="Q1920" s="19"/>
      <c r="R1920" s="19"/>
    </row>
    <row r="1921" spans="13:18">
      <c r="M1921" s="19"/>
      <c r="N1921" s="19"/>
      <c r="O1921" s="19"/>
      <c r="P1921" s="19"/>
      <c r="Q1921" s="19"/>
      <c r="R1921" s="19"/>
    </row>
    <row r="1922" spans="13:18">
      <c r="M1922" s="19"/>
      <c r="N1922" s="19"/>
      <c r="O1922" s="19"/>
      <c r="P1922" s="19"/>
      <c r="Q1922" s="19"/>
      <c r="R1922" s="19"/>
    </row>
    <row r="1923" spans="13:18">
      <c r="M1923" s="19"/>
      <c r="N1923" s="19"/>
      <c r="O1923" s="19"/>
      <c r="P1923" s="19"/>
      <c r="Q1923" s="19"/>
      <c r="R1923" s="19"/>
    </row>
    <row r="1924" spans="13:18">
      <c r="M1924" s="19"/>
      <c r="N1924" s="19"/>
      <c r="O1924" s="19"/>
      <c r="P1924" s="19"/>
      <c r="Q1924" s="19"/>
      <c r="R1924" s="19"/>
    </row>
    <row r="1925" spans="13:18">
      <c r="M1925" s="19"/>
      <c r="N1925" s="19"/>
      <c r="O1925" s="19"/>
      <c r="P1925" s="19"/>
      <c r="Q1925" s="19"/>
      <c r="R1925" s="19"/>
    </row>
    <row r="1926" spans="13:18">
      <c r="M1926" s="19"/>
      <c r="N1926" s="19"/>
      <c r="O1926" s="19"/>
      <c r="P1926" s="19"/>
      <c r="Q1926" s="19"/>
      <c r="R1926" s="19"/>
    </row>
    <row r="1927" spans="13:18">
      <c r="M1927" s="19"/>
      <c r="N1927" s="19"/>
      <c r="O1927" s="19"/>
      <c r="P1927" s="19"/>
      <c r="Q1927" s="19"/>
      <c r="R1927" s="19"/>
    </row>
    <row r="1928" spans="13:18">
      <c r="M1928" s="19"/>
      <c r="N1928" s="19"/>
      <c r="O1928" s="19"/>
      <c r="P1928" s="19"/>
      <c r="Q1928" s="19"/>
      <c r="R1928" s="19"/>
    </row>
    <row r="1929" spans="13:18">
      <c r="M1929" s="19"/>
      <c r="N1929" s="19"/>
      <c r="O1929" s="19"/>
      <c r="P1929" s="19"/>
      <c r="Q1929" s="19"/>
      <c r="R1929" s="19"/>
    </row>
    <row r="1930" spans="13:18">
      <c r="M1930" s="19"/>
      <c r="N1930" s="19"/>
      <c r="O1930" s="19"/>
      <c r="P1930" s="19"/>
      <c r="Q1930" s="19"/>
      <c r="R1930" s="19"/>
    </row>
    <row r="1931" spans="13:18">
      <c r="M1931" s="19"/>
      <c r="N1931" s="19"/>
      <c r="O1931" s="19"/>
      <c r="P1931" s="19"/>
      <c r="Q1931" s="19"/>
      <c r="R1931" s="19"/>
    </row>
    <row r="1932" spans="13:18">
      <c r="M1932" s="19"/>
      <c r="N1932" s="19"/>
      <c r="O1932" s="19"/>
      <c r="P1932" s="19"/>
      <c r="Q1932" s="19"/>
      <c r="R1932" s="19"/>
    </row>
    <row r="1933" spans="13:18">
      <c r="M1933" s="19"/>
      <c r="N1933" s="19"/>
      <c r="O1933" s="19"/>
      <c r="P1933" s="19"/>
      <c r="Q1933" s="19"/>
      <c r="R1933" s="19"/>
    </row>
    <row r="1934" spans="13:18">
      <c r="M1934" s="19"/>
      <c r="N1934" s="19"/>
      <c r="O1934" s="19"/>
      <c r="P1934" s="19"/>
      <c r="Q1934" s="19"/>
      <c r="R1934" s="19"/>
    </row>
    <row r="1935" spans="13:18">
      <c r="M1935" s="19"/>
      <c r="N1935" s="19"/>
      <c r="O1935" s="19"/>
      <c r="P1935" s="19"/>
      <c r="Q1935" s="19"/>
      <c r="R1935" s="19"/>
    </row>
    <row r="1936" spans="13:18">
      <c r="M1936" s="19"/>
      <c r="N1936" s="19"/>
      <c r="O1936" s="19"/>
      <c r="P1936" s="19"/>
      <c r="Q1936" s="19"/>
      <c r="R1936" s="19"/>
    </row>
    <row r="1937" spans="13:18">
      <c r="M1937" s="19"/>
      <c r="N1937" s="19"/>
      <c r="O1937" s="19"/>
      <c r="P1937" s="19"/>
      <c r="Q1937" s="19"/>
      <c r="R1937" s="19"/>
    </row>
    <row r="1938" spans="13:18">
      <c r="M1938" s="19"/>
      <c r="N1938" s="19"/>
      <c r="O1938" s="19"/>
      <c r="P1938" s="19"/>
      <c r="Q1938" s="19"/>
      <c r="R1938" s="19"/>
    </row>
    <row r="1939" spans="13:18">
      <c r="M1939" s="19"/>
      <c r="N1939" s="19"/>
      <c r="O1939" s="19"/>
      <c r="P1939" s="19"/>
      <c r="Q1939" s="19"/>
      <c r="R1939" s="19"/>
    </row>
    <row r="1940" spans="13:18">
      <c r="M1940" s="19"/>
      <c r="N1940" s="19"/>
      <c r="O1940" s="19"/>
      <c r="P1940" s="19"/>
      <c r="Q1940" s="19"/>
      <c r="R1940" s="19"/>
    </row>
    <row r="1941" spans="13:18">
      <c r="M1941" s="19"/>
      <c r="N1941" s="19"/>
      <c r="O1941" s="19"/>
      <c r="P1941" s="19"/>
      <c r="Q1941" s="19"/>
      <c r="R1941" s="19"/>
    </row>
    <row r="1942" spans="13:18">
      <c r="M1942" s="19"/>
      <c r="N1942" s="19"/>
      <c r="O1942" s="19"/>
      <c r="P1942" s="19"/>
      <c r="Q1942" s="19"/>
      <c r="R1942" s="19"/>
    </row>
    <row r="1943" spans="13:18">
      <c r="M1943" s="19"/>
      <c r="N1943" s="19"/>
      <c r="O1943" s="19"/>
      <c r="P1943" s="19"/>
      <c r="Q1943" s="19"/>
      <c r="R1943" s="19"/>
    </row>
    <row r="1944" spans="13:18">
      <c r="M1944" s="19"/>
      <c r="N1944" s="19"/>
      <c r="O1944" s="19"/>
      <c r="P1944" s="19"/>
      <c r="Q1944" s="19"/>
      <c r="R1944" s="19"/>
    </row>
    <row r="1945" spans="13:18">
      <c r="M1945" s="19"/>
      <c r="N1945" s="19"/>
      <c r="O1945" s="19"/>
      <c r="P1945" s="19"/>
      <c r="Q1945" s="19"/>
      <c r="R1945" s="19"/>
    </row>
    <row r="1946" spans="13:18">
      <c r="M1946" s="19"/>
      <c r="N1946" s="19"/>
      <c r="O1946" s="19"/>
      <c r="P1946" s="19"/>
      <c r="Q1946" s="19"/>
      <c r="R1946" s="19"/>
    </row>
    <row r="1947" spans="13:18">
      <c r="M1947" s="19"/>
      <c r="N1947" s="19"/>
      <c r="O1947" s="19"/>
      <c r="P1947" s="19"/>
      <c r="Q1947" s="19"/>
      <c r="R1947" s="19"/>
    </row>
    <row r="1948" spans="13:18">
      <c r="M1948" s="19"/>
      <c r="N1948" s="19"/>
      <c r="O1948" s="19"/>
      <c r="P1948" s="19"/>
      <c r="Q1948" s="19"/>
      <c r="R1948" s="19"/>
    </row>
    <row r="1949" spans="13:18">
      <c r="M1949" s="19"/>
      <c r="N1949" s="19"/>
      <c r="O1949" s="19"/>
      <c r="P1949" s="19"/>
      <c r="Q1949" s="19"/>
      <c r="R1949" s="19"/>
    </row>
    <row r="1950" spans="13:18">
      <c r="M1950" s="19"/>
      <c r="N1950" s="19"/>
      <c r="O1950" s="19"/>
      <c r="P1950" s="19"/>
      <c r="Q1950" s="19"/>
      <c r="R1950" s="19"/>
    </row>
    <row r="1951" spans="13:18">
      <c r="M1951" s="19"/>
      <c r="N1951" s="19"/>
      <c r="O1951" s="19"/>
      <c r="P1951" s="19"/>
      <c r="Q1951" s="19"/>
      <c r="R1951" s="19"/>
    </row>
    <row r="1952" spans="13:18">
      <c r="M1952" s="19"/>
      <c r="N1952" s="19"/>
      <c r="O1952" s="19"/>
      <c r="P1952" s="19"/>
      <c r="Q1952" s="19"/>
      <c r="R1952" s="19"/>
    </row>
    <row r="1953" spans="13:18">
      <c r="M1953" s="19"/>
      <c r="N1953" s="19"/>
      <c r="O1953" s="19"/>
      <c r="P1953" s="19"/>
      <c r="Q1953" s="19"/>
      <c r="R1953" s="19"/>
    </row>
    <row r="1954" spans="13:18">
      <c r="M1954" s="19"/>
      <c r="N1954" s="19"/>
      <c r="O1954" s="19"/>
      <c r="P1954" s="19"/>
      <c r="Q1954" s="19"/>
      <c r="R1954" s="19"/>
    </row>
    <row r="1955" spans="13:18">
      <c r="M1955" s="19"/>
      <c r="N1955" s="19"/>
      <c r="O1955" s="19"/>
      <c r="P1955" s="19"/>
      <c r="Q1955" s="19"/>
      <c r="R1955" s="19"/>
    </row>
    <row r="1956" spans="13:18">
      <c r="M1956" s="19"/>
      <c r="N1956" s="19"/>
      <c r="O1956" s="19"/>
      <c r="P1956" s="19"/>
      <c r="Q1956" s="19"/>
      <c r="R1956" s="19"/>
    </row>
    <row r="1957" spans="13:18">
      <c r="M1957" s="19"/>
      <c r="N1957" s="19"/>
      <c r="O1957" s="19"/>
      <c r="P1957" s="19"/>
      <c r="Q1957" s="19"/>
      <c r="R1957" s="19"/>
    </row>
    <row r="1958" spans="13:18">
      <c r="M1958" s="19"/>
      <c r="N1958" s="19"/>
      <c r="O1958" s="19"/>
      <c r="P1958" s="19"/>
      <c r="Q1958" s="19"/>
      <c r="R1958" s="19"/>
    </row>
    <row r="1959" spans="13:18">
      <c r="M1959" s="19"/>
      <c r="N1959" s="19"/>
      <c r="O1959" s="19"/>
      <c r="P1959" s="19"/>
      <c r="Q1959" s="19"/>
      <c r="R1959" s="19"/>
    </row>
    <row r="1960" spans="13:18">
      <c r="M1960" s="19"/>
      <c r="N1960" s="19"/>
      <c r="O1960" s="19"/>
      <c r="P1960" s="19"/>
      <c r="Q1960" s="19"/>
      <c r="R1960" s="19"/>
    </row>
    <row r="1961" spans="13:18">
      <c r="M1961" s="19"/>
      <c r="N1961" s="19"/>
      <c r="O1961" s="19"/>
      <c r="P1961" s="19"/>
      <c r="Q1961" s="19"/>
      <c r="R1961" s="19"/>
    </row>
    <row r="1962" spans="13:18">
      <c r="M1962" s="19"/>
      <c r="N1962" s="19"/>
      <c r="O1962" s="19"/>
      <c r="P1962" s="19"/>
      <c r="Q1962" s="19"/>
      <c r="R1962" s="19"/>
    </row>
    <row r="1963" spans="13:18">
      <c r="M1963" s="19"/>
      <c r="N1963" s="19"/>
      <c r="O1963" s="19"/>
      <c r="P1963" s="19"/>
      <c r="Q1963" s="19"/>
      <c r="R1963" s="19"/>
    </row>
    <row r="1964" spans="13:18">
      <c r="M1964" s="19"/>
      <c r="N1964" s="19"/>
      <c r="O1964" s="19"/>
      <c r="P1964" s="19"/>
      <c r="Q1964" s="19"/>
      <c r="R1964" s="19"/>
    </row>
    <row r="1965" spans="13:18">
      <c r="M1965" s="19"/>
      <c r="N1965" s="19"/>
      <c r="O1965" s="19"/>
      <c r="P1965" s="19"/>
      <c r="Q1965" s="19"/>
      <c r="R1965" s="19"/>
    </row>
    <row r="1966" spans="13:18">
      <c r="M1966" s="19"/>
      <c r="N1966" s="19"/>
      <c r="O1966" s="19"/>
      <c r="P1966" s="19"/>
      <c r="Q1966" s="19"/>
      <c r="R1966" s="19"/>
    </row>
    <row r="1967" spans="13:18">
      <c r="M1967" s="19"/>
      <c r="N1967" s="19"/>
      <c r="O1967" s="19"/>
      <c r="P1967" s="19"/>
      <c r="Q1967" s="19"/>
      <c r="R1967" s="19"/>
    </row>
    <row r="1968" spans="13:18">
      <c r="M1968" s="19"/>
      <c r="N1968" s="19"/>
      <c r="O1968" s="19"/>
      <c r="P1968" s="19"/>
      <c r="Q1968" s="19"/>
      <c r="R1968" s="19"/>
    </row>
    <row r="1969" spans="13:18">
      <c r="M1969" s="19"/>
      <c r="N1969" s="19"/>
      <c r="O1969" s="19"/>
      <c r="P1969" s="19"/>
      <c r="Q1969" s="19"/>
      <c r="R1969" s="19"/>
    </row>
    <row r="1970" spans="13:18">
      <c r="M1970" s="19"/>
      <c r="N1970" s="19"/>
      <c r="O1970" s="19"/>
      <c r="P1970" s="19"/>
      <c r="Q1970" s="19"/>
      <c r="R1970" s="19"/>
    </row>
    <row r="1971" spans="13:18">
      <c r="M1971" s="19"/>
      <c r="N1971" s="19"/>
      <c r="O1971" s="19"/>
      <c r="P1971" s="19"/>
      <c r="Q1971" s="19"/>
      <c r="R1971" s="19"/>
    </row>
    <row r="1972" spans="13:18">
      <c r="M1972" s="19"/>
      <c r="N1972" s="19"/>
      <c r="O1972" s="19"/>
      <c r="P1972" s="19"/>
      <c r="Q1972" s="19"/>
      <c r="R1972" s="19"/>
    </row>
    <row r="1973" spans="13:18">
      <c r="M1973" s="19"/>
      <c r="N1973" s="19"/>
      <c r="O1973" s="19"/>
      <c r="P1973" s="19"/>
      <c r="Q1973" s="19"/>
      <c r="R1973" s="19"/>
    </row>
    <row r="1974" spans="13:18">
      <c r="M1974" s="19"/>
      <c r="N1974" s="19"/>
      <c r="O1974" s="19"/>
      <c r="P1974" s="19"/>
      <c r="Q1974" s="19"/>
      <c r="R1974" s="19"/>
    </row>
    <row r="1975" spans="13:18">
      <c r="M1975" s="19"/>
      <c r="N1975" s="19"/>
      <c r="O1975" s="19"/>
      <c r="P1975" s="19"/>
      <c r="Q1975" s="19"/>
      <c r="R1975" s="19"/>
    </row>
    <row r="1976" spans="13:18">
      <c r="M1976" s="19"/>
      <c r="N1976" s="19"/>
      <c r="O1976" s="19"/>
      <c r="P1976" s="19"/>
      <c r="Q1976" s="19"/>
      <c r="R1976" s="19"/>
    </row>
    <row r="1977" spans="13:18">
      <c r="M1977" s="19"/>
      <c r="N1977" s="19"/>
      <c r="O1977" s="19"/>
      <c r="P1977" s="19"/>
      <c r="Q1977" s="19"/>
      <c r="R1977" s="19"/>
    </row>
    <row r="1978" spans="13:18">
      <c r="M1978" s="19"/>
      <c r="N1978" s="19"/>
      <c r="O1978" s="19"/>
      <c r="P1978" s="19"/>
      <c r="Q1978" s="19"/>
      <c r="R1978" s="19"/>
    </row>
    <row r="1979" spans="13:18">
      <c r="M1979" s="19"/>
      <c r="N1979" s="19"/>
      <c r="O1979" s="19"/>
      <c r="P1979" s="19"/>
      <c r="Q1979" s="19"/>
      <c r="R1979" s="19"/>
    </row>
    <row r="1980" spans="13:18">
      <c r="M1980" s="19"/>
      <c r="N1980" s="19"/>
      <c r="O1980" s="19"/>
      <c r="P1980" s="19"/>
      <c r="Q1980" s="19"/>
      <c r="R1980" s="19"/>
    </row>
    <row r="1981" spans="13:18">
      <c r="M1981" s="19"/>
      <c r="N1981" s="19"/>
      <c r="O1981" s="19"/>
      <c r="P1981" s="19"/>
      <c r="Q1981" s="19"/>
      <c r="R1981" s="19"/>
    </row>
    <row r="1982" spans="13:18">
      <c r="M1982" s="19"/>
      <c r="N1982" s="19"/>
      <c r="O1982" s="19"/>
      <c r="P1982" s="19"/>
      <c r="Q1982" s="19"/>
      <c r="R1982" s="19"/>
    </row>
    <row r="1983" spans="13:18">
      <c r="M1983" s="19"/>
      <c r="N1983" s="19"/>
      <c r="O1983" s="19"/>
      <c r="P1983" s="19"/>
      <c r="Q1983" s="19"/>
      <c r="R1983" s="19"/>
    </row>
    <row r="1984" spans="13:18">
      <c r="M1984" s="19"/>
      <c r="N1984" s="19"/>
      <c r="O1984" s="19"/>
      <c r="P1984" s="19"/>
      <c r="Q1984" s="19"/>
      <c r="R1984" s="19"/>
    </row>
    <row r="1985" spans="13:18">
      <c r="M1985" s="19"/>
      <c r="N1985" s="19"/>
      <c r="O1985" s="19"/>
      <c r="P1985" s="19"/>
      <c r="Q1985" s="19"/>
      <c r="R1985" s="19"/>
    </row>
    <row r="1986" spans="13:18">
      <c r="M1986" s="19"/>
      <c r="N1986" s="19"/>
      <c r="O1986" s="19"/>
      <c r="P1986" s="19"/>
      <c r="Q1986" s="19"/>
      <c r="R1986" s="19"/>
    </row>
    <row r="1987" spans="13:18">
      <c r="M1987" s="19"/>
      <c r="N1987" s="19"/>
      <c r="O1987" s="19"/>
      <c r="P1987" s="19"/>
      <c r="Q1987" s="19"/>
      <c r="R1987" s="19"/>
    </row>
    <row r="1988" spans="13:18">
      <c r="M1988" s="19"/>
      <c r="N1988" s="19"/>
      <c r="O1988" s="19"/>
      <c r="P1988" s="19"/>
      <c r="Q1988" s="19"/>
      <c r="R1988" s="19"/>
    </row>
    <row r="1989" spans="13:18">
      <c r="M1989" s="19"/>
      <c r="N1989" s="19"/>
      <c r="O1989" s="19"/>
      <c r="P1989" s="19"/>
      <c r="Q1989" s="19"/>
      <c r="R1989" s="19"/>
    </row>
    <row r="1990" spans="13:18">
      <c r="M1990" s="19"/>
      <c r="N1990" s="19"/>
      <c r="O1990" s="19"/>
      <c r="P1990" s="19"/>
      <c r="Q1990" s="19"/>
      <c r="R1990" s="19"/>
    </row>
    <row r="1991" spans="13:18">
      <c r="M1991" s="19"/>
      <c r="N1991" s="19"/>
      <c r="O1991" s="19"/>
      <c r="P1991" s="19"/>
      <c r="Q1991" s="19"/>
      <c r="R1991" s="19"/>
    </row>
    <row r="1992" spans="13:18">
      <c r="M1992" s="19"/>
      <c r="N1992" s="19"/>
      <c r="O1992" s="19"/>
      <c r="P1992" s="19"/>
      <c r="Q1992" s="19"/>
      <c r="R1992" s="19"/>
    </row>
    <row r="1993" spans="13:18">
      <c r="M1993" s="19"/>
      <c r="N1993" s="19"/>
      <c r="O1993" s="19"/>
      <c r="P1993" s="19"/>
      <c r="Q1993" s="19"/>
      <c r="R1993" s="19"/>
    </row>
    <row r="1994" spans="13:18">
      <c r="M1994" s="19"/>
      <c r="N1994" s="19"/>
      <c r="O1994" s="19"/>
      <c r="P1994" s="19"/>
      <c r="Q1994" s="19"/>
      <c r="R1994" s="19"/>
    </row>
    <row r="1995" spans="13:18">
      <c r="M1995" s="19"/>
      <c r="N1995" s="19"/>
      <c r="O1995" s="19"/>
      <c r="P1995" s="19"/>
      <c r="Q1995" s="19"/>
      <c r="R1995" s="19"/>
    </row>
    <row r="1996" spans="13:18">
      <c r="M1996" s="19"/>
      <c r="N1996" s="19"/>
      <c r="O1996" s="19"/>
      <c r="P1996" s="19"/>
      <c r="Q1996" s="19"/>
      <c r="R1996" s="19"/>
    </row>
    <row r="1997" spans="13:18">
      <c r="M1997" s="19"/>
      <c r="N1997" s="19"/>
      <c r="O1997" s="19"/>
      <c r="P1997" s="19"/>
      <c r="Q1997" s="19"/>
      <c r="R1997" s="19"/>
    </row>
    <row r="1998" spans="13:18">
      <c r="M1998" s="19"/>
      <c r="N1998" s="19"/>
      <c r="O1998" s="19"/>
      <c r="P1998" s="19"/>
      <c r="Q1998" s="19"/>
      <c r="R1998" s="19"/>
    </row>
    <row r="1999" spans="13:18">
      <c r="M1999" s="19"/>
      <c r="N1999" s="19"/>
      <c r="O1999" s="19"/>
      <c r="P1999" s="19"/>
      <c r="Q1999" s="19"/>
      <c r="R1999" s="19"/>
    </row>
    <row r="2000" spans="13:18">
      <c r="M2000" s="19"/>
      <c r="N2000" s="19"/>
      <c r="O2000" s="19"/>
      <c r="P2000" s="19"/>
      <c r="Q2000" s="19"/>
      <c r="R2000" s="19"/>
    </row>
    <row r="2001" spans="13:18">
      <c r="M2001" s="19"/>
      <c r="N2001" s="19"/>
      <c r="O2001" s="19"/>
      <c r="P2001" s="19"/>
      <c r="Q2001" s="19"/>
      <c r="R2001" s="19"/>
    </row>
    <row r="2002" spans="13:18">
      <c r="M2002" s="19"/>
      <c r="N2002" s="19"/>
      <c r="O2002" s="19"/>
      <c r="P2002" s="19"/>
      <c r="Q2002" s="19"/>
      <c r="R2002" s="19"/>
    </row>
    <row r="2003" spans="13:18">
      <c r="M2003" s="19"/>
      <c r="N2003" s="19"/>
      <c r="O2003" s="19"/>
      <c r="P2003" s="19"/>
      <c r="Q2003" s="19"/>
      <c r="R2003" s="19"/>
    </row>
    <row r="2004" spans="13:18">
      <c r="M2004" s="19"/>
      <c r="N2004" s="19"/>
      <c r="O2004" s="19"/>
      <c r="P2004" s="19"/>
      <c r="Q2004" s="19"/>
      <c r="R2004" s="19"/>
    </row>
    <row r="2005" spans="13:18">
      <c r="M2005" s="19"/>
      <c r="N2005" s="19"/>
      <c r="O2005" s="19"/>
      <c r="P2005" s="19"/>
      <c r="Q2005" s="19"/>
      <c r="R2005" s="19"/>
    </row>
    <row r="2006" spans="13:18">
      <c r="M2006" s="19"/>
      <c r="N2006" s="19"/>
      <c r="O2006" s="19"/>
      <c r="P2006" s="19"/>
      <c r="Q2006" s="19"/>
      <c r="R2006" s="19"/>
    </row>
    <row r="2007" spans="13:18">
      <c r="M2007" s="19"/>
      <c r="N2007" s="19"/>
      <c r="O2007" s="19"/>
      <c r="P2007" s="19"/>
      <c r="Q2007" s="19"/>
      <c r="R2007" s="19"/>
    </row>
    <row r="2008" spans="13:18">
      <c r="M2008" s="19"/>
      <c r="N2008" s="19"/>
      <c r="O2008" s="19"/>
      <c r="P2008" s="19"/>
      <c r="Q2008" s="19"/>
      <c r="R2008" s="19"/>
    </row>
    <row r="2009" spans="13:18">
      <c r="M2009" s="19"/>
      <c r="N2009" s="19"/>
      <c r="O2009" s="19"/>
      <c r="P2009" s="19"/>
      <c r="Q2009" s="19"/>
      <c r="R2009" s="19"/>
    </row>
    <row r="2010" spans="13:18">
      <c r="M2010" s="19"/>
      <c r="N2010" s="19"/>
      <c r="O2010" s="19"/>
      <c r="P2010" s="19"/>
      <c r="Q2010" s="19"/>
      <c r="R2010" s="19"/>
    </row>
    <row r="2011" spans="13:18">
      <c r="M2011" s="19"/>
      <c r="N2011" s="19"/>
      <c r="O2011" s="19"/>
      <c r="P2011" s="19"/>
      <c r="Q2011" s="19"/>
      <c r="R2011" s="19"/>
    </row>
    <row r="2012" spans="13:18">
      <c r="M2012" s="19"/>
      <c r="N2012" s="19"/>
      <c r="O2012" s="19"/>
      <c r="P2012" s="19"/>
      <c r="Q2012" s="19"/>
      <c r="R2012" s="19"/>
    </row>
    <row r="2013" spans="13:18">
      <c r="M2013" s="19"/>
      <c r="N2013" s="19"/>
      <c r="O2013" s="19"/>
      <c r="P2013" s="19"/>
      <c r="Q2013" s="19"/>
      <c r="R2013" s="19"/>
    </row>
    <row r="2014" spans="13:18">
      <c r="M2014" s="19"/>
      <c r="N2014" s="19"/>
      <c r="O2014" s="19"/>
      <c r="P2014" s="19"/>
      <c r="Q2014" s="19"/>
      <c r="R2014" s="19"/>
    </row>
    <row r="2015" spans="13:18">
      <c r="M2015" s="19"/>
      <c r="N2015" s="19"/>
      <c r="O2015" s="19"/>
      <c r="P2015" s="19"/>
      <c r="Q2015" s="19"/>
      <c r="R2015" s="19"/>
    </row>
    <row r="2016" spans="13:18">
      <c r="M2016" s="19"/>
      <c r="N2016" s="19"/>
      <c r="O2016" s="19"/>
      <c r="P2016" s="19"/>
      <c r="Q2016" s="19"/>
      <c r="R2016" s="19"/>
    </row>
    <row r="2017" spans="13:18">
      <c r="M2017" s="19"/>
      <c r="N2017" s="19"/>
      <c r="O2017" s="19"/>
      <c r="P2017" s="19"/>
      <c r="Q2017" s="19"/>
      <c r="R2017" s="19"/>
    </row>
    <row r="2018" spans="13:18">
      <c r="M2018" s="19"/>
      <c r="N2018" s="19"/>
      <c r="O2018" s="19"/>
      <c r="P2018" s="19"/>
      <c r="Q2018" s="19"/>
      <c r="R2018" s="19"/>
    </row>
    <row r="2019" spans="13:18">
      <c r="M2019" s="19"/>
      <c r="N2019" s="19"/>
      <c r="O2019" s="19"/>
      <c r="P2019" s="19"/>
      <c r="Q2019" s="19"/>
      <c r="R2019" s="19"/>
    </row>
    <row r="2020" spans="13:18">
      <c r="M2020" s="19"/>
      <c r="N2020" s="19"/>
      <c r="O2020" s="19"/>
      <c r="P2020" s="19"/>
      <c r="Q2020" s="19"/>
      <c r="R2020" s="19"/>
    </row>
    <row r="2021" spans="13:18">
      <c r="M2021" s="19"/>
      <c r="N2021" s="19"/>
      <c r="O2021" s="19"/>
      <c r="P2021" s="19"/>
      <c r="Q2021" s="19"/>
      <c r="R2021" s="19"/>
    </row>
    <row r="2022" spans="13:18">
      <c r="M2022" s="19"/>
      <c r="N2022" s="19"/>
      <c r="O2022" s="19"/>
      <c r="P2022" s="19"/>
      <c r="Q2022" s="19"/>
      <c r="R2022" s="19"/>
    </row>
    <row r="2023" spans="13:18">
      <c r="M2023" s="19"/>
      <c r="N2023" s="19"/>
      <c r="O2023" s="19"/>
      <c r="P2023" s="19"/>
      <c r="Q2023" s="19"/>
      <c r="R2023" s="19"/>
    </row>
    <row r="2024" spans="13:18">
      <c r="M2024" s="19"/>
      <c r="N2024" s="19"/>
      <c r="O2024" s="19"/>
      <c r="P2024" s="19"/>
      <c r="Q2024" s="19"/>
      <c r="R2024" s="19"/>
    </row>
    <row r="2025" spans="13:18">
      <c r="M2025" s="19"/>
      <c r="N2025" s="19"/>
      <c r="O2025" s="19"/>
      <c r="P2025" s="19"/>
      <c r="Q2025" s="19"/>
      <c r="R2025" s="19"/>
    </row>
    <row r="2026" spans="13:18">
      <c r="M2026" s="19"/>
      <c r="N2026" s="19"/>
      <c r="O2026" s="19"/>
      <c r="P2026" s="19"/>
      <c r="Q2026" s="19"/>
      <c r="R2026" s="19"/>
    </row>
    <row r="2027" spans="13:18">
      <c r="M2027" s="19"/>
      <c r="N2027" s="19"/>
      <c r="O2027" s="19"/>
      <c r="P2027" s="19"/>
      <c r="Q2027" s="19"/>
      <c r="R2027" s="19"/>
    </row>
    <row r="2028" spans="13:18">
      <c r="M2028" s="19"/>
      <c r="N2028" s="19"/>
      <c r="O2028" s="19"/>
      <c r="P2028" s="19"/>
      <c r="Q2028" s="19"/>
      <c r="R2028" s="19"/>
    </row>
    <row r="2029" spans="13:18">
      <c r="M2029" s="19"/>
      <c r="N2029" s="19"/>
      <c r="O2029" s="19"/>
      <c r="P2029" s="19"/>
      <c r="Q2029" s="19"/>
      <c r="R2029" s="19"/>
    </row>
    <row r="2030" spans="13:18">
      <c r="M2030" s="19"/>
      <c r="N2030" s="19"/>
      <c r="O2030" s="19"/>
      <c r="P2030" s="19"/>
      <c r="Q2030" s="19"/>
      <c r="R2030" s="19"/>
    </row>
    <row r="2031" spans="13:18">
      <c r="M2031" s="19"/>
      <c r="N2031" s="19"/>
      <c r="O2031" s="19"/>
      <c r="P2031" s="19"/>
      <c r="Q2031" s="19"/>
      <c r="R2031" s="19"/>
    </row>
    <row r="2032" spans="13:18">
      <c r="M2032" s="19"/>
      <c r="N2032" s="19"/>
      <c r="O2032" s="19"/>
      <c r="P2032" s="19"/>
      <c r="Q2032" s="19"/>
      <c r="R2032" s="19"/>
    </row>
    <row r="2033" spans="13:18">
      <c r="M2033" s="19"/>
      <c r="N2033" s="19"/>
      <c r="O2033" s="19"/>
      <c r="P2033" s="19"/>
      <c r="Q2033" s="19"/>
      <c r="R2033" s="19"/>
    </row>
    <row r="2034" spans="13:18">
      <c r="M2034" s="19"/>
      <c r="N2034" s="19"/>
      <c r="O2034" s="19"/>
      <c r="P2034" s="19"/>
      <c r="Q2034" s="19"/>
      <c r="R2034" s="19"/>
    </row>
    <row r="2035" spans="13:18">
      <c r="M2035" s="19"/>
      <c r="N2035" s="19"/>
      <c r="O2035" s="19"/>
      <c r="P2035" s="19"/>
      <c r="Q2035" s="19"/>
      <c r="R2035" s="19"/>
    </row>
    <row r="2036" spans="13:18">
      <c r="M2036" s="19"/>
      <c r="N2036" s="19"/>
      <c r="O2036" s="19"/>
      <c r="P2036" s="19"/>
      <c r="Q2036" s="19"/>
      <c r="R2036" s="19"/>
    </row>
    <row r="2037" spans="13:18">
      <c r="M2037" s="19"/>
      <c r="N2037" s="19"/>
      <c r="O2037" s="19"/>
      <c r="P2037" s="19"/>
      <c r="Q2037" s="19"/>
      <c r="R2037" s="19"/>
    </row>
    <row r="2038" spans="13:18">
      <c r="M2038" s="19"/>
      <c r="N2038" s="19"/>
      <c r="O2038" s="19"/>
      <c r="P2038" s="19"/>
      <c r="Q2038" s="19"/>
      <c r="R2038" s="19"/>
    </row>
    <row r="2039" spans="13:18">
      <c r="M2039" s="19"/>
      <c r="N2039" s="19"/>
      <c r="O2039" s="19"/>
      <c r="P2039" s="19"/>
      <c r="Q2039" s="19"/>
      <c r="R2039" s="19"/>
    </row>
    <row r="2040" spans="13:18">
      <c r="M2040" s="19"/>
      <c r="N2040" s="19"/>
      <c r="O2040" s="19"/>
      <c r="P2040" s="19"/>
      <c r="Q2040" s="19"/>
      <c r="R2040" s="19"/>
    </row>
    <row r="2041" spans="13:18">
      <c r="M2041" s="19"/>
      <c r="N2041" s="19"/>
      <c r="O2041" s="19"/>
      <c r="P2041" s="19"/>
      <c r="Q2041" s="19"/>
      <c r="R2041" s="19"/>
    </row>
    <row r="2042" spans="13:18">
      <c r="M2042" s="19"/>
      <c r="N2042" s="19"/>
      <c r="O2042" s="19"/>
      <c r="P2042" s="19"/>
      <c r="Q2042" s="19"/>
      <c r="R2042" s="19"/>
    </row>
    <row r="2043" spans="13:18">
      <c r="M2043" s="19"/>
      <c r="N2043" s="19"/>
      <c r="O2043" s="19"/>
      <c r="P2043" s="19"/>
      <c r="Q2043" s="19"/>
      <c r="R2043" s="19"/>
    </row>
    <row r="2044" spans="13:18">
      <c r="M2044" s="19"/>
      <c r="N2044" s="19"/>
      <c r="O2044" s="19"/>
      <c r="P2044" s="19"/>
      <c r="Q2044" s="19"/>
      <c r="R2044" s="19"/>
    </row>
    <row r="2045" spans="13:18">
      <c r="M2045" s="19"/>
      <c r="N2045" s="19"/>
      <c r="O2045" s="19"/>
      <c r="P2045" s="19"/>
      <c r="Q2045" s="19"/>
      <c r="R2045" s="19"/>
    </row>
    <row r="2046" spans="13:18">
      <c r="M2046" s="19"/>
      <c r="N2046" s="19"/>
      <c r="O2046" s="19"/>
      <c r="P2046" s="19"/>
      <c r="Q2046" s="19"/>
      <c r="R2046" s="19"/>
    </row>
    <row r="2047" spans="13:18">
      <c r="M2047" s="19"/>
      <c r="N2047" s="19"/>
      <c r="O2047" s="19"/>
      <c r="P2047" s="19"/>
      <c r="Q2047" s="19"/>
      <c r="R2047" s="19"/>
    </row>
    <row r="2048" spans="13:18">
      <c r="M2048" s="19"/>
      <c r="N2048" s="19"/>
      <c r="O2048" s="19"/>
      <c r="P2048" s="19"/>
      <c r="Q2048" s="19"/>
      <c r="R2048" s="19"/>
    </row>
    <row r="2049" spans="13:18">
      <c r="M2049" s="19"/>
      <c r="N2049" s="19"/>
      <c r="O2049" s="19"/>
      <c r="P2049" s="19"/>
      <c r="Q2049" s="19"/>
      <c r="R2049" s="19"/>
    </row>
    <row r="2050" spans="13:18">
      <c r="M2050" s="19"/>
      <c r="N2050" s="19"/>
      <c r="O2050" s="19"/>
      <c r="P2050" s="19"/>
      <c r="Q2050" s="19"/>
      <c r="R2050" s="19"/>
    </row>
    <row r="2051" spans="13:18">
      <c r="M2051" s="19"/>
      <c r="N2051" s="19"/>
      <c r="O2051" s="19"/>
      <c r="P2051" s="19"/>
      <c r="Q2051" s="19"/>
      <c r="R2051" s="19"/>
    </row>
    <row r="2052" spans="13:18">
      <c r="M2052" s="19"/>
      <c r="N2052" s="19"/>
      <c r="O2052" s="19"/>
      <c r="P2052" s="19"/>
      <c r="Q2052" s="19"/>
      <c r="R2052" s="19"/>
    </row>
    <row r="2053" spans="13:18">
      <c r="M2053" s="19"/>
      <c r="N2053" s="19"/>
      <c r="O2053" s="19"/>
      <c r="P2053" s="19"/>
      <c r="Q2053" s="19"/>
      <c r="R2053" s="19"/>
    </row>
    <row r="2054" spans="13:18">
      <c r="M2054" s="19"/>
      <c r="N2054" s="19"/>
      <c r="O2054" s="19"/>
      <c r="P2054" s="19"/>
      <c r="Q2054" s="19"/>
      <c r="R2054" s="19"/>
    </row>
    <row r="2055" spans="13:18">
      <c r="M2055" s="19"/>
      <c r="N2055" s="19"/>
      <c r="O2055" s="19"/>
      <c r="P2055" s="19"/>
      <c r="Q2055" s="19"/>
      <c r="R2055" s="19"/>
    </row>
    <row r="2056" spans="13:18">
      <c r="M2056" s="19"/>
      <c r="N2056" s="19"/>
      <c r="O2056" s="19"/>
      <c r="P2056" s="19"/>
      <c r="Q2056" s="19"/>
      <c r="R2056" s="19"/>
    </row>
    <row r="2057" spans="13:18">
      <c r="M2057" s="19"/>
      <c r="N2057" s="19"/>
      <c r="O2057" s="19"/>
      <c r="P2057" s="19"/>
      <c r="Q2057" s="19"/>
      <c r="R2057" s="19"/>
    </row>
    <row r="2058" spans="13:18">
      <c r="M2058" s="19"/>
      <c r="N2058" s="19"/>
      <c r="O2058" s="19"/>
      <c r="P2058" s="19"/>
      <c r="Q2058" s="19"/>
      <c r="R2058" s="19"/>
    </row>
    <row r="2059" spans="13:18">
      <c r="M2059" s="19"/>
      <c r="N2059" s="19"/>
      <c r="O2059" s="19"/>
      <c r="P2059" s="19"/>
      <c r="Q2059" s="19"/>
      <c r="R2059" s="19"/>
    </row>
    <row r="2060" spans="13:18">
      <c r="M2060" s="19"/>
      <c r="N2060" s="19"/>
      <c r="O2060" s="19"/>
      <c r="P2060" s="19"/>
      <c r="Q2060" s="19"/>
      <c r="R2060" s="19"/>
    </row>
    <row r="2061" spans="13:18">
      <c r="M2061" s="19"/>
      <c r="N2061" s="19"/>
      <c r="O2061" s="19"/>
      <c r="P2061" s="19"/>
      <c r="Q2061" s="19"/>
      <c r="R2061" s="19"/>
    </row>
    <row r="2062" spans="13:18">
      <c r="M2062" s="19"/>
      <c r="N2062" s="19"/>
      <c r="O2062" s="19"/>
      <c r="P2062" s="19"/>
      <c r="Q2062" s="19"/>
      <c r="R2062" s="19"/>
    </row>
    <row r="2063" spans="13:18">
      <c r="M2063" s="19"/>
      <c r="N2063" s="19"/>
      <c r="O2063" s="19"/>
      <c r="P2063" s="19"/>
      <c r="Q2063" s="19"/>
      <c r="R2063" s="19"/>
    </row>
    <row r="2064" spans="13:18">
      <c r="M2064" s="19"/>
      <c r="N2064" s="19"/>
      <c r="O2064" s="19"/>
      <c r="P2064" s="19"/>
      <c r="Q2064" s="19"/>
      <c r="R2064" s="19"/>
    </row>
    <row r="2065" spans="13:18">
      <c r="M2065" s="19"/>
      <c r="N2065" s="19"/>
      <c r="O2065" s="19"/>
      <c r="P2065" s="19"/>
      <c r="Q2065" s="19"/>
      <c r="R2065" s="19"/>
    </row>
    <row r="2066" spans="13:18">
      <c r="M2066" s="19"/>
      <c r="N2066" s="19"/>
      <c r="O2066" s="19"/>
      <c r="P2066" s="19"/>
      <c r="Q2066" s="19"/>
      <c r="R2066" s="19"/>
    </row>
    <row r="2067" spans="13:18">
      <c r="M2067" s="19"/>
      <c r="N2067" s="19"/>
      <c r="O2067" s="19"/>
      <c r="P2067" s="19"/>
      <c r="Q2067" s="19"/>
      <c r="R2067" s="19"/>
    </row>
    <row r="2068" spans="13:18">
      <c r="M2068" s="19"/>
      <c r="N2068" s="19"/>
      <c r="O2068" s="19"/>
      <c r="P2068" s="19"/>
      <c r="Q2068" s="19"/>
      <c r="R2068" s="19"/>
    </row>
    <row r="2069" spans="13:18">
      <c r="M2069" s="19"/>
      <c r="N2069" s="19"/>
      <c r="O2069" s="19"/>
      <c r="P2069" s="19"/>
      <c r="Q2069" s="19"/>
      <c r="R2069" s="19"/>
    </row>
    <row r="2070" spans="13:18">
      <c r="M2070" s="19"/>
      <c r="N2070" s="19"/>
      <c r="O2070" s="19"/>
      <c r="P2070" s="19"/>
      <c r="Q2070" s="19"/>
      <c r="R2070" s="19"/>
    </row>
    <row r="2071" spans="13:18">
      <c r="M2071" s="19"/>
      <c r="N2071" s="19"/>
      <c r="O2071" s="19"/>
      <c r="P2071" s="19"/>
      <c r="Q2071" s="19"/>
      <c r="R2071" s="19"/>
    </row>
    <row r="2072" spans="13:18">
      <c r="M2072" s="19"/>
      <c r="N2072" s="19"/>
      <c r="O2072" s="19"/>
      <c r="P2072" s="19"/>
      <c r="Q2072" s="19"/>
      <c r="R2072" s="19"/>
    </row>
    <row r="2073" spans="13:18">
      <c r="M2073" s="19"/>
      <c r="N2073" s="19"/>
      <c r="O2073" s="19"/>
      <c r="P2073" s="19"/>
      <c r="Q2073" s="19"/>
      <c r="R2073" s="19"/>
    </row>
    <row r="2074" spans="13:18">
      <c r="M2074" s="19"/>
      <c r="N2074" s="19"/>
      <c r="O2074" s="19"/>
      <c r="P2074" s="19"/>
      <c r="Q2074" s="19"/>
      <c r="R2074" s="19"/>
    </row>
    <row r="2075" spans="13:18">
      <c r="M2075" s="19"/>
      <c r="N2075" s="19"/>
      <c r="O2075" s="19"/>
      <c r="P2075" s="19"/>
      <c r="Q2075" s="19"/>
      <c r="R2075" s="19"/>
    </row>
    <row r="2076" spans="13:18">
      <c r="M2076" s="19"/>
      <c r="N2076" s="19"/>
      <c r="O2076" s="19"/>
      <c r="P2076" s="19"/>
      <c r="Q2076" s="19"/>
      <c r="R2076" s="19"/>
    </row>
    <row r="2077" spans="13:18">
      <c r="M2077" s="19"/>
      <c r="N2077" s="19"/>
      <c r="O2077" s="19"/>
      <c r="P2077" s="19"/>
      <c r="Q2077" s="19"/>
      <c r="R2077" s="19"/>
    </row>
    <row r="2078" spans="13:18">
      <c r="M2078" s="19"/>
      <c r="N2078" s="19"/>
      <c r="O2078" s="19"/>
      <c r="P2078" s="19"/>
      <c r="Q2078" s="19"/>
      <c r="R2078" s="19"/>
    </row>
    <row r="2079" spans="13:18">
      <c r="M2079" s="19"/>
      <c r="N2079" s="19"/>
      <c r="O2079" s="19"/>
      <c r="P2079" s="19"/>
      <c r="Q2079" s="19"/>
      <c r="R2079" s="19"/>
    </row>
    <row r="2080" spans="13:18">
      <c r="M2080" s="19"/>
      <c r="N2080" s="19"/>
      <c r="O2080" s="19"/>
      <c r="P2080" s="19"/>
      <c r="Q2080" s="19"/>
      <c r="R2080" s="19"/>
    </row>
    <row r="2081" spans="13:18">
      <c r="M2081" s="19"/>
      <c r="N2081" s="19"/>
      <c r="O2081" s="19"/>
      <c r="P2081" s="19"/>
      <c r="Q2081" s="19"/>
      <c r="R2081" s="19"/>
    </row>
    <row r="2082" spans="13:18">
      <c r="M2082" s="19"/>
      <c r="N2082" s="19"/>
      <c r="O2082" s="19"/>
      <c r="P2082" s="19"/>
      <c r="Q2082" s="19"/>
      <c r="R2082" s="19"/>
    </row>
    <row r="2083" spans="13:18">
      <c r="M2083" s="19"/>
      <c r="N2083" s="19"/>
      <c r="O2083" s="19"/>
      <c r="P2083" s="19"/>
      <c r="Q2083" s="19"/>
      <c r="R2083" s="19"/>
    </row>
    <row r="2084" spans="13:18">
      <c r="M2084" s="19"/>
      <c r="N2084" s="19"/>
      <c r="O2084" s="19"/>
      <c r="P2084" s="19"/>
      <c r="Q2084" s="19"/>
      <c r="R2084" s="19"/>
    </row>
    <row r="2085" spans="13:18">
      <c r="M2085" s="19"/>
      <c r="N2085" s="19"/>
      <c r="O2085" s="19"/>
      <c r="P2085" s="19"/>
      <c r="Q2085" s="19"/>
      <c r="R2085" s="19"/>
    </row>
    <row r="2086" spans="13:18">
      <c r="M2086" s="19"/>
      <c r="N2086" s="19"/>
      <c r="O2086" s="19"/>
      <c r="P2086" s="19"/>
      <c r="Q2086" s="19"/>
      <c r="R2086" s="19"/>
    </row>
    <row r="2087" spans="13:18">
      <c r="M2087" s="19"/>
      <c r="N2087" s="19"/>
      <c r="O2087" s="19"/>
      <c r="P2087" s="19"/>
      <c r="Q2087" s="19"/>
      <c r="R2087" s="19"/>
    </row>
    <row r="2088" spans="13:18">
      <c r="M2088" s="19"/>
      <c r="N2088" s="19"/>
      <c r="O2088" s="19"/>
      <c r="P2088" s="19"/>
      <c r="Q2088" s="19"/>
      <c r="R2088" s="19"/>
    </row>
    <row r="2089" spans="13:18">
      <c r="M2089" s="19"/>
      <c r="N2089" s="19"/>
      <c r="O2089" s="19"/>
      <c r="P2089" s="19"/>
      <c r="Q2089" s="19"/>
      <c r="R2089" s="19"/>
    </row>
    <row r="2090" spans="13:18">
      <c r="M2090" s="19"/>
      <c r="N2090" s="19"/>
      <c r="O2090" s="19"/>
      <c r="P2090" s="19"/>
      <c r="Q2090" s="19"/>
      <c r="R2090" s="19"/>
    </row>
    <row r="2091" spans="13:18">
      <c r="M2091" s="19"/>
      <c r="N2091" s="19"/>
      <c r="O2091" s="19"/>
      <c r="P2091" s="19"/>
      <c r="Q2091" s="19"/>
      <c r="R2091" s="19"/>
    </row>
    <row r="2092" spans="13:18">
      <c r="M2092" s="19"/>
      <c r="N2092" s="19"/>
      <c r="O2092" s="19"/>
      <c r="P2092" s="19"/>
      <c r="Q2092" s="19"/>
      <c r="R2092" s="19"/>
    </row>
    <row r="2093" spans="13:18">
      <c r="M2093" s="19"/>
      <c r="N2093" s="19"/>
      <c r="O2093" s="19"/>
      <c r="P2093" s="19"/>
      <c r="Q2093" s="19"/>
      <c r="R2093" s="19"/>
    </row>
    <row r="2094" spans="13:18">
      <c r="M2094" s="19"/>
      <c r="N2094" s="19"/>
      <c r="O2094" s="19"/>
      <c r="P2094" s="19"/>
      <c r="Q2094" s="19"/>
      <c r="R2094" s="19"/>
    </row>
    <row r="2095" spans="13:18">
      <c r="M2095" s="19"/>
      <c r="N2095" s="19"/>
      <c r="O2095" s="19"/>
      <c r="P2095" s="19"/>
      <c r="Q2095" s="19"/>
      <c r="R2095" s="19"/>
    </row>
    <row r="2096" spans="13:18">
      <c r="M2096" s="19"/>
      <c r="N2096" s="19"/>
      <c r="O2096" s="19"/>
      <c r="P2096" s="19"/>
      <c r="Q2096" s="19"/>
      <c r="R2096" s="19"/>
    </row>
    <row r="2097" spans="13:18">
      <c r="M2097" s="19"/>
      <c r="N2097" s="19"/>
      <c r="O2097" s="19"/>
      <c r="P2097" s="19"/>
      <c r="Q2097" s="19"/>
      <c r="R2097" s="19"/>
    </row>
    <row r="2098" spans="13:18">
      <c r="M2098" s="19"/>
      <c r="N2098" s="19"/>
      <c r="O2098" s="19"/>
      <c r="P2098" s="19"/>
      <c r="Q2098" s="19"/>
      <c r="R2098" s="19"/>
    </row>
    <row r="2099" spans="13:18">
      <c r="M2099" s="19"/>
      <c r="N2099" s="19"/>
      <c r="O2099" s="19"/>
      <c r="P2099" s="19"/>
      <c r="Q2099" s="19"/>
      <c r="R2099" s="19"/>
    </row>
    <row r="2100" spans="13:18">
      <c r="M2100" s="19"/>
      <c r="N2100" s="19"/>
      <c r="O2100" s="19"/>
      <c r="P2100" s="19"/>
      <c r="Q2100" s="19"/>
      <c r="R2100" s="19"/>
    </row>
    <row r="2101" spans="13:18">
      <c r="M2101" s="19"/>
      <c r="N2101" s="19"/>
      <c r="O2101" s="19"/>
      <c r="P2101" s="19"/>
      <c r="Q2101" s="19"/>
      <c r="R2101" s="19"/>
    </row>
    <row r="2102" spans="13:18">
      <c r="M2102" s="19"/>
      <c r="N2102" s="19"/>
      <c r="O2102" s="19"/>
      <c r="P2102" s="19"/>
      <c r="Q2102" s="19"/>
      <c r="R2102" s="19"/>
    </row>
    <row r="2103" spans="13:18">
      <c r="M2103" s="19"/>
      <c r="N2103" s="19"/>
      <c r="O2103" s="19"/>
      <c r="P2103" s="19"/>
      <c r="Q2103" s="19"/>
      <c r="R2103" s="19"/>
    </row>
    <row r="2104" spans="13:18">
      <c r="M2104" s="19"/>
      <c r="N2104" s="19"/>
      <c r="O2104" s="19"/>
      <c r="P2104" s="19"/>
      <c r="Q2104" s="19"/>
      <c r="R2104" s="19"/>
    </row>
    <row r="2105" spans="13:18">
      <c r="M2105" s="19"/>
      <c r="N2105" s="19"/>
      <c r="O2105" s="19"/>
      <c r="P2105" s="19"/>
      <c r="Q2105" s="19"/>
      <c r="R2105" s="19"/>
    </row>
    <row r="2106" spans="13:18">
      <c r="M2106" s="19"/>
      <c r="N2106" s="19"/>
      <c r="O2106" s="19"/>
      <c r="P2106" s="19"/>
      <c r="Q2106" s="19"/>
      <c r="R2106" s="19"/>
    </row>
    <row r="2107" spans="13:18">
      <c r="M2107" s="19"/>
      <c r="N2107" s="19"/>
      <c r="O2107" s="19"/>
      <c r="P2107" s="19"/>
      <c r="Q2107" s="19"/>
      <c r="R2107" s="19"/>
    </row>
    <row r="2108" spans="13:18">
      <c r="M2108" s="19"/>
      <c r="N2108" s="19"/>
      <c r="O2108" s="19"/>
      <c r="P2108" s="19"/>
      <c r="Q2108" s="19"/>
      <c r="R2108" s="19"/>
    </row>
    <row r="2109" spans="13:18">
      <c r="M2109" s="19"/>
      <c r="N2109" s="19"/>
      <c r="O2109" s="19"/>
      <c r="P2109" s="19"/>
      <c r="Q2109" s="19"/>
      <c r="R2109" s="19"/>
    </row>
    <row r="2110" spans="13:18">
      <c r="M2110" s="19"/>
      <c r="N2110" s="19"/>
      <c r="O2110" s="19"/>
      <c r="P2110" s="19"/>
      <c r="Q2110" s="19"/>
      <c r="R2110" s="19"/>
    </row>
    <row r="2111" spans="13:18">
      <c r="M2111" s="19"/>
      <c r="N2111" s="19"/>
      <c r="O2111" s="19"/>
      <c r="P2111" s="19"/>
      <c r="Q2111" s="19"/>
      <c r="R2111" s="19"/>
    </row>
    <row r="2112" spans="13:18">
      <c r="M2112" s="19"/>
      <c r="N2112" s="19"/>
      <c r="O2112" s="19"/>
      <c r="P2112" s="19"/>
      <c r="Q2112" s="19"/>
      <c r="R2112" s="19"/>
    </row>
    <row r="2113" spans="13:18">
      <c r="M2113" s="19"/>
      <c r="N2113" s="19"/>
      <c r="O2113" s="19"/>
      <c r="P2113" s="19"/>
      <c r="Q2113" s="19"/>
      <c r="R2113" s="19"/>
    </row>
    <row r="2114" spans="13:18">
      <c r="M2114" s="19"/>
      <c r="N2114" s="19"/>
      <c r="O2114" s="19"/>
      <c r="P2114" s="19"/>
      <c r="Q2114" s="19"/>
      <c r="R2114" s="19"/>
    </row>
    <row r="2115" spans="13:18">
      <c r="M2115" s="19"/>
      <c r="N2115" s="19"/>
      <c r="O2115" s="19"/>
      <c r="P2115" s="19"/>
      <c r="Q2115" s="19"/>
      <c r="R2115" s="19"/>
    </row>
    <row r="2116" spans="13:18">
      <c r="M2116" s="19"/>
      <c r="N2116" s="19"/>
      <c r="O2116" s="19"/>
      <c r="P2116" s="19"/>
      <c r="Q2116" s="19"/>
      <c r="R2116" s="19"/>
    </row>
    <row r="2117" spans="13:18">
      <c r="M2117" s="19"/>
      <c r="N2117" s="19"/>
      <c r="O2117" s="19"/>
      <c r="P2117" s="19"/>
      <c r="Q2117" s="19"/>
      <c r="R2117" s="19"/>
    </row>
    <row r="2118" spans="13:18">
      <c r="M2118" s="19"/>
      <c r="N2118" s="19"/>
      <c r="O2118" s="19"/>
      <c r="P2118" s="19"/>
      <c r="Q2118" s="19"/>
      <c r="R2118" s="19"/>
    </row>
    <row r="2119" spans="13:18">
      <c r="M2119" s="19"/>
      <c r="N2119" s="19"/>
      <c r="O2119" s="19"/>
      <c r="P2119" s="19"/>
      <c r="Q2119" s="19"/>
      <c r="R2119" s="19"/>
    </row>
    <row r="2120" spans="13:18">
      <c r="M2120" s="19"/>
      <c r="N2120" s="19"/>
      <c r="O2120" s="19"/>
      <c r="P2120" s="19"/>
      <c r="Q2120" s="19"/>
      <c r="R2120" s="19"/>
    </row>
    <row r="2121" spans="13:18">
      <c r="M2121" s="19"/>
      <c r="N2121" s="19"/>
      <c r="O2121" s="19"/>
      <c r="P2121" s="19"/>
      <c r="Q2121" s="19"/>
      <c r="R2121" s="19"/>
    </row>
    <row r="2122" spans="13:18">
      <c r="M2122" s="19"/>
      <c r="N2122" s="19"/>
      <c r="O2122" s="19"/>
      <c r="P2122" s="19"/>
      <c r="Q2122" s="19"/>
      <c r="R2122" s="19"/>
    </row>
    <row r="2123" spans="13:18">
      <c r="M2123" s="19"/>
      <c r="N2123" s="19"/>
      <c r="O2123" s="19"/>
      <c r="P2123" s="19"/>
      <c r="Q2123" s="19"/>
      <c r="R2123" s="19"/>
    </row>
    <row r="2124" spans="13:18">
      <c r="M2124" s="19"/>
      <c r="N2124" s="19"/>
      <c r="O2124" s="19"/>
      <c r="P2124" s="19"/>
      <c r="Q2124" s="19"/>
      <c r="R2124" s="19"/>
    </row>
    <row r="2125" spans="13:18">
      <c r="M2125" s="19"/>
      <c r="N2125" s="19"/>
      <c r="O2125" s="19"/>
      <c r="P2125" s="19"/>
      <c r="Q2125" s="19"/>
      <c r="R2125" s="19"/>
    </row>
    <row r="2126" spans="13:18">
      <c r="M2126" s="19"/>
      <c r="N2126" s="19"/>
      <c r="O2126" s="19"/>
      <c r="P2126" s="19"/>
      <c r="Q2126" s="19"/>
      <c r="R2126" s="19"/>
    </row>
    <row r="2127" spans="13:18">
      <c r="M2127" s="19"/>
      <c r="N2127" s="19"/>
      <c r="O2127" s="19"/>
      <c r="P2127" s="19"/>
      <c r="Q2127" s="19"/>
      <c r="R2127" s="19"/>
    </row>
    <row r="2128" spans="13:18">
      <c r="M2128" s="19"/>
      <c r="N2128" s="19"/>
      <c r="O2128" s="19"/>
      <c r="P2128" s="19"/>
      <c r="Q2128" s="19"/>
      <c r="R2128" s="19"/>
    </row>
    <row r="2129" spans="13:18">
      <c r="M2129" s="19"/>
      <c r="N2129" s="19"/>
      <c r="O2129" s="19"/>
      <c r="P2129" s="19"/>
      <c r="Q2129" s="19"/>
      <c r="R2129" s="19"/>
    </row>
    <row r="2130" spans="13:18">
      <c r="M2130" s="19"/>
      <c r="N2130" s="19"/>
      <c r="O2130" s="19"/>
      <c r="P2130" s="19"/>
      <c r="Q2130" s="19"/>
      <c r="R2130" s="19"/>
    </row>
    <row r="2131" spans="13:18">
      <c r="M2131" s="19"/>
      <c r="N2131" s="19"/>
      <c r="O2131" s="19"/>
      <c r="P2131" s="19"/>
      <c r="Q2131" s="19"/>
      <c r="R2131" s="19"/>
    </row>
    <row r="2132" spans="13:18">
      <c r="M2132" s="19"/>
      <c r="N2132" s="19"/>
      <c r="O2132" s="19"/>
      <c r="P2132" s="19"/>
      <c r="Q2132" s="19"/>
      <c r="R2132" s="19"/>
    </row>
    <row r="2133" spans="13:18">
      <c r="M2133" s="19"/>
      <c r="N2133" s="19"/>
      <c r="O2133" s="19"/>
      <c r="P2133" s="19"/>
      <c r="Q2133" s="19"/>
      <c r="R2133" s="19"/>
    </row>
    <row r="2134" spans="13:18">
      <c r="M2134" s="19"/>
      <c r="N2134" s="19"/>
      <c r="O2134" s="19"/>
      <c r="P2134" s="19"/>
      <c r="Q2134" s="19"/>
      <c r="R2134" s="19"/>
    </row>
    <row r="2135" spans="13:18">
      <c r="M2135" s="19"/>
      <c r="N2135" s="19"/>
      <c r="O2135" s="19"/>
      <c r="P2135" s="19"/>
      <c r="Q2135" s="19"/>
      <c r="R2135" s="19"/>
    </row>
    <row r="2136" spans="13:18">
      <c r="M2136" s="19"/>
      <c r="N2136" s="19"/>
      <c r="O2136" s="19"/>
      <c r="P2136" s="19"/>
      <c r="Q2136" s="19"/>
      <c r="R2136" s="19"/>
    </row>
    <row r="2137" spans="13:18">
      <c r="M2137" s="19"/>
      <c r="N2137" s="19"/>
      <c r="O2137" s="19"/>
      <c r="P2137" s="19"/>
      <c r="Q2137" s="19"/>
      <c r="R2137" s="19"/>
    </row>
    <row r="2138" spans="13:18">
      <c r="M2138" s="19"/>
      <c r="N2138" s="19"/>
      <c r="O2138" s="19"/>
      <c r="P2138" s="19"/>
      <c r="Q2138" s="19"/>
      <c r="R2138" s="19"/>
    </row>
    <row r="2139" spans="13:18">
      <c r="M2139" s="19"/>
      <c r="N2139" s="19"/>
      <c r="O2139" s="19"/>
      <c r="P2139" s="19"/>
      <c r="Q2139" s="19"/>
      <c r="R2139" s="19"/>
    </row>
    <row r="2140" spans="13:18">
      <c r="M2140" s="19"/>
      <c r="N2140" s="19"/>
      <c r="O2140" s="19"/>
      <c r="P2140" s="19"/>
      <c r="Q2140" s="19"/>
      <c r="R2140" s="19"/>
    </row>
    <row r="2141" spans="13:18">
      <c r="M2141" s="19"/>
      <c r="N2141" s="19"/>
      <c r="O2141" s="19"/>
      <c r="P2141" s="19"/>
      <c r="Q2141" s="19"/>
      <c r="R2141" s="19"/>
    </row>
    <row r="2142" spans="13:18">
      <c r="M2142" s="19"/>
      <c r="N2142" s="19"/>
      <c r="O2142" s="19"/>
      <c r="P2142" s="19"/>
      <c r="Q2142" s="19"/>
      <c r="R2142" s="19"/>
    </row>
    <row r="2143" spans="13:18">
      <c r="M2143" s="19"/>
      <c r="N2143" s="19"/>
      <c r="O2143" s="19"/>
      <c r="P2143" s="19"/>
      <c r="Q2143" s="19"/>
      <c r="R2143" s="19"/>
    </row>
    <row r="2144" spans="13:18">
      <c r="M2144" s="19"/>
      <c r="N2144" s="19"/>
      <c r="O2144" s="19"/>
      <c r="P2144" s="19"/>
      <c r="Q2144" s="19"/>
      <c r="R2144" s="19"/>
    </row>
    <row r="2145" spans="13:18">
      <c r="M2145" s="19"/>
      <c r="N2145" s="19"/>
      <c r="O2145" s="19"/>
      <c r="P2145" s="19"/>
      <c r="Q2145" s="19"/>
      <c r="R2145" s="19"/>
    </row>
    <row r="2146" spans="13:18">
      <c r="M2146" s="19"/>
      <c r="N2146" s="19"/>
      <c r="O2146" s="19"/>
      <c r="P2146" s="19"/>
      <c r="Q2146" s="19"/>
      <c r="R2146" s="19"/>
    </row>
    <row r="2147" spans="13:18">
      <c r="M2147" s="19"/>
      <c r="N2147" s="19"/>
      <c r="O2147" s="19"/>
      <c r="P2147" s="19"/>
      <c r="Q2147" s="19"/>
      <c r="R2147" s="19"/>
    </row>
    <row r="2148" spans="13:18">
      <c r="M2148" s="19"/>
      <c r="N2148" s="19"/>
      <c r="O2148" s="19"/>
      <c r="P2148" s="19"/>
      <c r="Q2148" s="19"/>
      <c r="R2148" s="19"/>
    </row>
    <row r="2149" spans="13:18">
      <c r="M2149" s="19"/>
      <c r="N2149" s="19"/>
      <c r="O2149" s="19"/>
      <c r="P2149" s="19"/>
      <c r="Q2149" s="19"/>
      <c r="R2149" s="19"/>
    </row>
    <row r="2150" spans="13:18">
      <c r="M2150" s="19"/>
      <c r="N2150" s="19"/>
      <c r="O2150" s="19"/>
      <c r="P2150" s="19"/>
      <c r="Q2150" s="19"/>
      <c r="R2150" s="19"/>
    </row>
    <row r="2151" spans="13:18">
      <c r="M2151" s="19"/>
      <c r="N2151" s="19"/>
      <c r="O2151" s="19"/>
      <c r="P2151" s="19"/>
      <c r="Q2151" s="19"/>
      <c r="R2151" s="19"/>
    </row>
    <row r="2152" spans="13:18">
      <c r="M2152" s="19"/>
      <c r="N2152" s="19"/>
      <c r="O2152" s="19"/>
      <c r="P2152" s="19"/>
      <c r="Q2152" s="19"/>
      <c r="R2152" s="19"/>
    </row>
    <row r="2153" spans="13:18">
      <c r="M2153" s="19"/>
      <c r="N2153" s="19"/>
      <c r="O2153" s="19"/>
      <c r="P2153" s="19"/>
      <c r="Q2153" s="19"/>
      <c r="R2153" s="19"/>
    </row>
    <row r="2154" spans="13:18">
      <c r="M2154" s="19"/>
      <c r="N2154" s="19"/>
      <c r="O2154" s="19"/>
      <c r="P2154" s="19"/>
      <c r="Q2154" s="19"/>
      <c r="R2154" s="19"/>
    </row>
    <row r="2155" spans="13:18">
      <c r="M2155" s="19"/>
      <c r="N2155" s="19"/>
      <c r="O2155" s="19"/>
      <c r="P2155" s="19"/>
      <c r="Q2155" s="19"/>
      <c r="R2155" s="19"/>
    </row>
    <row r="2156" spans="13:18">
      <c r="M2156" s="19"/>
      <c r="N2156" s="19"/>
      <c r="O2156" s="19"/>
      <c r="P2156" s="19"/>
      <c r="Q2156" s="19"/>
      <c r="R2156" s="19"/>
    </row>
    <row r="2157" spans="13:18">
      <c r="M2157" s="19"/>
      <c r="N2157" s="19"/>
      <c r="O2157" s="19"/>
      <c r="P2157" s="19"/>
      <c r="Q2157" s="19"/>
      <c r="R2157" s="19"/>
    </row>
    <row r="2158" spans="13:18">
      <c r="M2158" s="19"/>
      <c r="N2158" s="19"/>
      <c r="O2158" s="19"/>
      <c r="P2158" s="19"/>
      <c r="Q2158" s="19"/>
      <c r="R2158" s="19"/>
    </row>
    <row r="2159" spans="13:18">
      <c r="M2159" s="19"/>
      <c r="N2159" s="19"/>
      <c r="O2159" s="19"/>
      <c r="P2159" s="19"/>
      <c r="Q2159" s="19"/>
      <c r="R2159" s="19"/>
    </row>
    <row r="2160" spans="13:18">
      <c r="M2160" s="19"/>
      <c r="N2160" s="19"/>
      <c r="O2160" s="19"/>
      <c r="P2160" s="19"/>
      <c r="Q2160" s="19"/>
      <c r="R2160" s="19"/>
    </row>
    <row r="2161" spans="13:18">
      <c r="M2161" s="19"/>
      <c r="N2161" s="19"/>
      <c r="O2161" s="19"/>
      <c r="P2161" s="19"/>
      <c r="Q2161" s="19"/>
      <c r="R2161" s="19"/>
    </row>
    <row r="2162" spans="13:18">
      <c r="M2162" s="19"/>
      <c r="N2162" s="19"/>
      <c r="O2162" s="19"/>
      <c r="P2162" s="19"/>
      <c r="Q2162" s="19"/>
      <c r="R2162" s="19"/>
    </row>
    <row r="2163" spans="13:18">
      <c r="M2163" s="19"/>
      <c r="N2163" s="19"/>
      <c r="O2163" s="19"/>
      <c r="P2163" s="19"/>
      <c r="Q2163" s="19"/>
      <c r="R2163" s="19"/>
    </row>
    <row r="2164" spans="13:18">
      <c r="M2164" s="19"/>
      <c r="N2164" s="19"/>
      <c r="O2164" s="19"/>
      <c r="P2164" s="19"/>
      <c r="Q2164" s="19"/>
      <c r="R2164" s="19"/>
    </row>
    <row r="2165" spans="13:18">
      <c r="M2165" s="19"/>
      <c r="N2165" s="19"/>
      <c r="O2165" s="19"/>
      <c r="P2165" s="19"/>
      <c r="Q2165" s="19"/>
      <c r="R2165" s="19"/>
    </row>
    <row r="2166" spans="13:18">
      <c r="M2166" s="19"/>
      <c r="N2166" s="19"/>
      <c r="O2166" s="19"/>
      <c r="P2166" s="19"/>
      <c r="Q2166" s="19"/>
      <c r="R2166" s="19"/>
    </row>
    <row r="2167" spans="13:18">
      <c r="M2167" s="19"/>
      <c r="N2167" s="19"/>
      <c r="O2167" s="19"/>
      <c r="P2167" s="19"/>
      <c r="Q2167" s="19"/>
      <c r="R2167" s="19"/>
    </row>
    <row r="2168" spans="13:18">
      <c r="M2168" s="19"/>
      <c r="N2168" s="19"/>
      <c r="O2168" s="19"/>
      <c r="P2168" s="19"/>
      <c r="Q2168" s="19"/>
      <c r="R2168" s="19"/>
    </row>
    <row r="2169" spans="13:18">
      <c r="M2169" s="19"/>
      <c r="N2169" s="19"/>
      <c r="O2169" s="19"/>
      <c r="P2169" s="19"/>
      <c r="Q2169" s="19"/>
      <c r="R2169" s="19"/>
    </row>
    <row r="2170" spans="13:18">
      <c r="M2170" s="19"/>
      <c r="N2170" s="19"/>
      <c r="O2170" s="19"/>
      <c r="P2170" s="19"/>
      <c r="Q2170" s="19"/>
      <c r="R2170" s="19"/>
    </row>
    <row r="2171" spans="13:18">
      <c r="M2171" s="19"/>
      <c r="N2171" s="19"/>
      <c r="O2171" s="19"/>
      <c r="P2171" s="19"/>
      <c r="Q2171" s="19"/>
      <c r="R2171" s="19"/>
    </row>
    <row r="2172" spans="13:18">
      <c r="M2172" s="19"/>
      <c r="N2172" s="19"/>
      <c r="O2172" s="19"/>
      <c r="P2172" s="19"/>
      <c r="Q2172" s="19"/>
      <c r="R2172" s="19"/>
    </row>
    <row r="2173" spans="13:18">
      <c r="M2173" s="19"/>
      <c r="N2173" s="19"/>
      <c r="O2173" s="19"/>
      <c r="P2173" s="19"/>
      <c r="Q2173" s="19"/>
      <c r="R2173" s="19"/>
    </row>
    <row r="2174" spans="13:18">
      <c r="M2174" s="19"/>
      <c r="N2174" s="19"/>
      <c r="O2174" s="19"/>
      <c r="P2174" s="19"/>
      <c r="Q2174" s="19"/>
      <c r="R2174" s="19"/>
    </row>
    <row r="2175" spans="13:18">
      <c r="M2175" s="19"/>
      <c r="N2175" s="19"/>
      <c r="O2175" s="19"/>
      <c r="P2175" s="19"/>
      <c r="Q2175" s="19"/>
      <c r="R2175" s="19"/>
    </row>
    <row r="2176" spans="13:18">
      <c r="M2176" s="19"/>
      <c r="N2176" s="19"/>
      <c r="O2176" s="19"/>
      <c r="P2176" s="19"/>
      <c r="Q2176" s="19"/>
      <c r="R2176" s="19"/>
    </row>
    <row r="2177" spans="13:18">
      <c r="M2177" s="19"/>
      <c r="N2177" s="19"/>
      <c r="O2177" s="19"/>
      <c r="P2177" s="19"/>
      <c r="Q2177" s="19"/>
      <c r="R2177" s="19"/>
    </row>
    <row r="2178" spans="13:18">
      <c r="M2178" s="19"/>
      <c r="N2178" s="19"/>
      <c r="O2178" s="19"/>
      <c r="P2178" s="19"/>
      <c r="Q2178" s="19"/>
      <c r="R2178" s="19"/>
    </row>
    <row r="2179" spans="13:18">
      <c r="M2179" s="19"/>
      <c r="N2179" s="19"/>
      <c r="O2179" s="19"/>
      <c r="P2179" s="19"/>
      <c r="Q2179" s="19"/>
      <c r="R2179" s="19"/>
    </row>
    <row r="2180" spans="13:18">
      <c r="M2180" s="19"/>
      <c r="N2180" s="19"/>
      <c r="O2180" s="19"/>
      <c r="P2180" s="19"/>
      <c r="Q2180" s="19"/>
      <c r="R2180" s="19"/>
    </row>
    <row r="2181" spans="13:18">
      <c r="M2181" s="19"/>
      <c r="N2181" s="19"/>
      <c r="O2181" s="19"/>
      <c r="P2181" s="19"/>
      <c r="Q2181" s="19"/>
      <c r="R2181" s="19"/>
    </row>
    <row r="2182" spans="13:18">
      <c r="M2182" s="19"/>
      <c r="N2182" s="19"/>
      <c r="O2182" s="19"/>
      <c r="P2182" s="19"/>
      <c r="Q2182" s="19"/>
      <c r="R2182" s="19"/>
    </row>
    <row r="2183" spans="13:18">
      <c r="M2183" s="19"/>
      <c r="N2183" s="19"/>
      <c r="O2183" s="19"/>
      <c r="P2183" s="19"/>
      <c r="Q2183" s="19"/>
      <c r="R2183" s="19"/>
    </row>
    <row r="2184" spans="13:18">
      <c r="M2184" s="19"/>
      <c r="N2184" s="19"/>
      <c r="O2184" s="19"/>
      <c r="P2184" s="19"/>
      <c r="Q2184" s="19"/>
      <c r="R2184" s="19"/>
    </row>
    <row r="2185" spans="13:18">
      <c r="M2185" s="19"/>
      <c r="N2185" s="19"/>
      <c r="O2185" s="19"/>
      <c r="P2185" s="19"/>
      <c r="Q2185" s="19"/>
      <c r="R2185" s="19"/>
    </row>
    <row r="2186" spans="13:18">
      <c r="M2186" s="19"/>
      <c r="N2186" s="19"/>
      <c r="O2186" s="19"/>
      <c r="P2186" s="19"/>
      <c r="Q2186" s="19"/>
      <c r="R2186" s="19"/>
    </row>
    <row r="2187" spans="13:18">
      <c r="M2187" s="19"/>
      <c r="N2187" s="19"/>
      <c r="O2187" s="19"/>
      <c r="P2187" s="19"/>
      <c r="Q2187" s="19"/>
      <c r="R2187" s="19"/>
    </row>
    <row r="2188" spans="13:18">
      <c r="M2188" s="19"/>
      <c r="N2188" s="19"/>
      <c r="O2188" s="19"/>
      <c r="P2188" s="19"/>
      <c r="Q2188" s="19"/>
      <c r="R2188" s="19"/>
    </row>
    <row r="2189" spans="13:18">
      <c r="M2189" s="19"/>
      <c r="N2189" s="19"/>
      <c r="O2189" s="19"/>
      <c r="P2189" s="19"/>
      <c r="Q2189" s="19"/>
      <c r="R2189" s="19"/>
    </row>
    <row r="2190" spans="13:18">
      <c r="M2190" s="19"/>
      <c r="N2190" s="19"/>
      <c r="O2190" s="19"/>
      <c r="P2190" s="19"/>
      <c r="Q2190" s="19"/>
      <c r="R2190" s="19"/>
    </row>
    <row r="2191" spans="13:18">
      <c r="M2191" s="19"/>
      <c r="N2191" s="19"/>
      <c r="O2191" s="19"/>
      <c r="P2191" s="19"/>
      <c r="Q2191" s="19"/>
      <c r="R2191" s="19"/>
    </row>
    <row r="2192" spans="13:18">
      <c r="M2192" s="19"/>
      <c r="N2192" s="19"/>
      <c r="O2192" s="19"/>
      <c r="P2192" s="19"/>
      <c r="Q2192" s="19"/>
      <c r="R2192" s="19"/>
    </row>
    <row r="2193" spans="13:18">
      <c r="M2193" s="19"/>
      <c r="N2193" s="19"/>
      <c r="O2193" s="19"/>
      <c r="P2193" s="19"/>
      <c r="Q2193" s="19"/>
      <c r="R2193" s="19"/>
    </row>
    <row r="2194" spans="13:18">
      <c r="M2194" s="19"/>
      <c r="N2194" s="19"/>
      <c r="O2194" s="19"/>
      <c r="P2194" s="19"/>
      <c r="Q2194" s="19"/>
      <c r="R2194" s="19"/>
    </row>
    <row r="2195" spans="13:18">
      <c r="M2195" s="19"/>
      <c r="N2195" s="19"/>
      <c r="O2195" s="19"/>
      <c r="P2195" s="19"/>
      <c r="Q2195" s="19"/>
      <c r="R2195" s="19"/>
    </row>
    <row r="2196" spans="13:18">
      <c r="M2196" s="19"/>
      <c r="N2196" s="19"/>
      <c r="O2196" s="19"/>
      <c r="P2196" s="19"/>
      <c r="Q2196" s="19"/>
      <c r="R2196" s="19"/>
    </row>
    <row r="2197" spans="13:18">
      <c r="M2197" s="19"/>
      <c r="N2197" s="19"/>
      <c r="O2197" s="19"/>
      <c r="P2197" s="19"/>
      <c r="Q2197" s="19"/>
      <c r="R2197" s="19"/>
    </row>
    <row r="2198" spans="13:18">
      <c r="M2198" s="19"/>
      <c r="N2198" s="19"/>
      <c r="O2198" s="19"/>
      <c r="P2198" s="19"/>
      <c r="Q2198" s="19"/>
      <c r="R2198" s="19"/>
    </row>
    <row r="2199" spans="13:18">
      <c r="M2199" s="19"/>
      <c r="N2199" s="19"/>
      <c r="O2199" s="19"/>
      <c r="P2199" s="19"/>
      <c r="Q2199" s="19"/>
      <c r="R2199" s="19"/>
    </row>
    <row r="2200" spans="13:18">
      <c r="M2200" s="19"/>
      <c r="N2200" s="19"/>
      <c r="O2200" s="19"/>
      <c r="P2200" s="19"/>
      <c r="Q2200" s="19"/>
      <c r="R2200" s="19"/>
    </row>
    <row r="2201" spans="13:18">
      <c r="M2201" s="19"/>
      <c r="N2201" s="19"/>
      <c r="O2201" s="19"/>
      <c r="P2201" s="19"/>
      <c r="Q2201" s="19"/>
      <c r="R2201" s="19"/>
    </row>
    <row r="2202" spans="13:18">
      <c r="M2202" s="19"/>
      <c r="N2202" s="19"/>
      <c r="O2202" s="19"/>
      <c r="P2202" s="19"/>
      <c r="Q2202" s="19"/>
      <c r="R2202" s="19"/>
    </row>
    <row r="2203" spans="13:18">
      <c r="M2203" s="19"/>
      <c r="N2203" s="19"/>
      <c r="O2203" s="19"/>
      <c r="P2203" s="19"/>
      <c r="Q2203" s="19"/>
      <c r="R2203" s="19"/>
    </row>
    <row r="2204" spans="13:18">
      <c r="M2204" s="19"/>
      <c r="N2204" s="19"/>
      <c r="O2204" s="19"/>
      <c r="P2204" s="19"/>
      <c r="Q2204" s="19"/>
      <c r="R2204" s="19"/>
    </row>
    <row r="2205" spans="13:18">
      <c r="M2205" s="19"/>
      <c r="N2205" s="19"/>
      <c r="O2205" s="19"/>
      <c r="P2205" s="19"/>
      <c r="Q2205" s="19"/>
      <c r="R2205" s="19"/>
    </row>
    <row r="2206" spans="13:18">
      <c r="M2206" s="19"/>
      <c r="N2206" s="19"/>
      <c r="O2206" s="19"/>
      <c r="P2206" s="19"/>
      <c r="Q2206" s="19"/>
      <c r="R2206" s="19"/>
    </row>
    <row r="2207" spans="13:18">
      <c r="M2207" s="19"/>
      <c r="N2207" s="19"/>
      <c r="O2207" s="19"/>
      <c r="P2207" s="19"/>
      <c r="Q2207" s="19"/>
      <c r="R2207" s="19"/>
    </row>
    <row r="2208" spans="13:18">
      <c r="M2208" s="19"/>
      <c r="N2208" s="19"/>
      <c r="O2208" s="19"/>
      <c r="P2208" s="19"/>
      <c r="Q2208" s="19"/>
      <c r="R2208" s="19"/>
    </row>
    <row r="2209" spans="13:18">
      <c r="M2209" s="19"/>
      <c r="N2209" s="19"/>
      <c r="O2209" s="19"/>
      <c r="P2209" s="19"/>
      <c r="Q2209" s="19"/>
      <c r="R2209" s="19"/>
    </row>
    <row r="2210" spans="13:18">
      <c r="M2210" s="19"/>
      <c r="N2210" s="19"/>
      <c r="O2210" s="19"/>
      <c r="P2210" s="19"/>
      <c r="Q2210" s="19"/>
      <c r="R2210" s="19"/>
    </row>
    <row r="2211" spans="13:18">
      <c r="M2211" s="19"/>
      <c r="N2211" s="19"/>
      <c r="O2211" s="19"/>
      <c r="P2211" s="19"/>
      <c r="Q2211" s="19"/>
      <c r="R2211" s="19"/>
    </row>
    <row r="2212" spans="13:18">
      <c r="M2212" s="19"/>
      <c r="N2212" s="19"/>
      <c r="O2212" s="19"/>
      <c r="P2212" s="19"/>
      <c r="Q2212" s="19"/>
      <c r="R2212" s="19"/>
    </row>
    <row r="2213" spans="13:18">
      <c r="M2213" s="19"/>
      <c r="N2213" s="19"/>
      <c r="O2213" s="19"/>
      <c r="P2213" s="19"/>
      <c r="Q2213" s="19"/>
      <c r="R2213" s="19"/>
    </row>
    <row r="2214" spans="13:18">
      <c r="M2214" s="19"/>
      <c r="N2214" s="19"/>
      <c r="O2214" s="19"/>
      <c r="P2214" s="19"/>
      <c r="Q2214" s="19"/>
      <c r="R2214" s="19"/>
    </row>
    <row r="2215" spans="13:18">
      <c r="M2215" s="19"/>
      <c r="N2215" s="19"/>
      <c r="O2215" s="19"/>
      <c r="P2215" s="19"/>
      <c r="Q2215" s="19"/>
      <c r="R2215" s="19"/>
    </row>
    <row r="2216" spans="13:18">
      <c r="M2216" s="19"/>
      <c r="N2216" s="19"/>
      <c r="O2216" s="19"/>
      <c r="P2216" s="19"/>
      <c r="Q2216" s="19"/>
      <c r="R2216" s="19"/>
    </row>
    <row r="2217" spans="13:18">
      <c r="M2217" s="19"/>
      <c r="N2217" s="19"/>
      <c r="O2217" s="19"/>
      <c r="P2217" s="19"/>
      <c r="Q2217" s="19"/>
      <c r="R2217" s="19"/>
    </row>
    <row r="2218" spans="13:18">
      <c r="M2218" s="19"/>
      <c r="N2218" s="19"/>
      <c r="O2218" s="19"/>
      <c r="P2218" s="19"/>
      <c r="Q2218" s="19"/>
      <c r="R2218" s="19"/>
    </row>
    <row r="2219" spans="13:18">
      <c r="M2219" s="19"/>
      <c r="N2219" s="19"/>
      <c r="O2219" s="19"/>
      <c r="P2219" s="19"/>
      <c r="Q2219" s="19"/>
      <c r="R2219" s="19"/>
    </row>
    <row r="2220" spans="13:18">
      <c r="M2220" s="19"/>
      <c r="N2220" s="19"/>
      <c r="O2220" s="19"/>
      <c r="P2220" s="19"/>
      <c r="Q2220" s="19"/>
      <c r="R2220" s="19"/>
    </row>
    <row r="2221" spans="13:18">
      <c r="M2221" s="19"/>
      <c r="N2221" s="19"/>
      <c r="O2221" s="19"/>
      <c r="P2221" s="19"/>
      <c r="Q2221" s="19"/>
      <c r="R2221" s="19"/>
    </row>
    <row r="2222" spans="13:18">
      <c r="M2222" s="19"/>
      <c r="N2222" s="19"/>
      <c r="O2222" s="19"/>
      <c r="P2222" s="19"/>
      <c r="Q2222" s="19"/>
      <c r="R2222" s="19"/>
    </row>
    <row r="2223" spans="13:18">
      <c r="M2223" s="19"/>
      <c r="N2223" s="19"/>
      <c r="O2223" s="19"/>
      <c r="P2223" s="19"/>
      <c r="Q2223" s="19"/>
      <c r="R2223" s="19"/>
    </row>
    <row r="2224" spans="13:18">
      <c r="M2224" s="19"/>
      <c r="N2224" s="19"/>
      <c r="O2224" s="19"/>
      <c r="P2224" s="19"/>
      <c r="Q2224" s="19"/>
      <c r="R2224" s="19"/>
    </row>
    <row r="2225" spans="13:18">
      <c r="M2225" s="19"/>
      <c r="N2225" s="19"/>
      <c r="O2225" s="19"/>
      <c r="P2225" s="19"/>
      <c r="Q2225" s="19"/>
      <c r="R2225" s="19"/>
    </row>
    <row r="2226" spans="13:18">
      <c r="M2226" s="19"/>
      <c r="N2226" s="19"/>
      <c r="O2226" s="19"/>
      <c r="P2226" s="19"/>
      <c r="Q2226" s="19"/>
      <c r="R2226" s="19"/>
    </row>
    <row r="2227" spans="13:18">
      <c r="M2227" s="19"/>
      <c r="N2227" s="19"/>
      <c r="O2227" s="19"/>
      <c r="P2227" s="19"/>
      <c r="Q2227" s="19"/>
      <c r="R2227" s="19"/>
    </row>
    <row r="2228" spans="13:18">
      <c r="M2228" s="19"/>
      <c r="N2228" s="19"/>
      <c r="O2228" s="19"/>
      <c r="P2228" s="19"/>
      <c r="Q2228" s="19"/>
      <c r="R2228" s="19"/>
    </row>
    <row r="2229" spans="13:18">
      <c r="M2229" s="19"/>
      <c r="N2229" s="19"/>
      <c r="O2229" s="19"/>
      <c r="P2229" s="19"/>
      <c r="Q2229" s="19"/>
      <c r="R2229" s="19"/>
    </row>
    <row r="2230" spans="13:18">
      <c r="M2230" s="19"/>
      <c r="N2230" s="19"/>
      <c r="O2230" s="19"/>
      <c r="P2230" s="19"/>
      <c r="Q2230" s="19"/>
      <c r="R2230" s="19"/>
    </row>
    <row r="2231" spans="13:18">
      <c r="M2231" s="19"/>
      <c r="N2231" s="19"/>
      <c r="O2231" s="19"/>
      <c r="P2231" s="19"/>
      <c r="Q2231" s="19"/>
      <c r="R2231" s="19"/>
    </row>
    <row r="2232" spans="13:18">
      <c r="M2232" s="19"/>
      <c r="N2232" s="19"/>
      <c r="O2232" s="19"/>
      <c r="P2232" s="19"/>
      <c r="Q2232" s="19"/>
      <c r="R2232" s="19"/>
    </row>
    <row r="2233" spans="13:18">
      <c r="M2233" s="19"/>
      <c r="N2233" s="19"/>
      <c r="O2233" s="19"/>
      <c r="P2233" s="19"/>
      <c r="Q2233" s="19"/>
      <c r="R2233" s="19"/>
    </row>
    <row r="2234" spans="13:18">
      <c r="M2234" s="19"/>
      <c r="N2234" s="19"/>
      <c r="O2234" s="19"/>
      <c r="P2234" s="19"/>
      <c r="Q2234" s="19"/>
      <c r="R2234" s="19"/>
    </row>
    <row r="2235" spans="13:18">
      <c r="M2235" s="19"/>
      <c r="N2235" s="19"/>
      <c r="O2235" s="19"/>
      <c r="P2235" s="19"/>
      <c r="Q2235" s="19"/>
      <c r="R2235" s="19"/>
    </row>
    <row r="2236" spans="13:18">
      <c r="M2236" s="19"/>
      <c r="N2236" s="19"/>
      <c r="O2236" s="19"/>
      <c r="P2236" s="19"/>
      <c r="Q2236" s="19"/>
      <c r="R2236" s="19"/>
    </row>
    <row r="2237" spans="13:18">
      <c r="M2237" s="19"/>
      <c r="N2237" s="19"/>
      <c r="O2237" s="19"/>
      <c r="P2237" s="19"/>
      <c r="Q2237" s="19"/>
      <c r="R2237" s="19"/>
    </row>
    <row r="2238" spans="13:18">
      <c r="M2238" s="19"/>
      <c r="N2238" s="19"/>
      <c r="O2238" s="19"/>
      <c r="P2238" s="19"/>
      <c r="Q2238" s="19"/>
      <c r="R2238" s="19"/>
    </row>
    <row r="2239" spans="13:18">
      <c r="M2239" s="19"/>
      <c r="N2239" s="19"/>
      <c r="O2239" s="19"/>
      <c r="P2239" s="19"/>
      <c r="Q2239" s="19"/>
      <c r="R2239" s="19"/>
    </row>
    <row r="2240" spans="13:18">
      <c r="M2240" s="19"/>
      <c r="N2240" s="19"/>
      <c r="O2240" s="19"/>
      <c r="P2240" s="19"/>
      <c r="Q2240" s="19"/>
      <c r="R2240" s="19"/>
    </row>
    <row r="2241" spans="13:18">
      <c r="M2241" s="19"/>
      <c r="N2241" s="19"/>
      <c r="O2241" s="19"/>
      <c r="P2241" s="19"/>
      <c r="Q2241" s="19"/>
      <c r="R2241" s="19"/>
    </row>
    <row r="2242" spans="13:18">
      <c r="M2242" s="19"/>
      <c r="N2242" s="19"/>
      <c r="O2242" s="19"/>
      <c r="P2242" s="19"/>
      <c r="Q2242" s="19"/>
      <c r="R2242" s="19"/>
    </row>
    <row r="2243" spans="13:18">
      <c r="M2243" s="19"/>
      <c r="N2243" s="19"/>
      <c r="O2243" s="19"/>
      <c r="P2243" s="19"/>
      <c r="Q2243" s="19"/>
      <c r="R2243" s="19"/>
    </row>
    <row r="2244" spans="13:18">
      <c r="M2244" s="19"/>
      <c r="N2244" s="19"/>
      <c r="O2244" s="19"/>
      <c r="P2244" s="19"/>
      <c r="Q2244" s="19"/>
      <c r="R2244" s="19"/>
    </row>
    <row r="2245" spans="13:18">
      <c r="M2245" s="19"/>
      <c r="N2245" s="19"/>
      <c r="O2245" s="19"/>
      <c r="P2245" s="19"/>
      <c r="Q2245" s="19"/>
      <c r="R2245" s="19"/>
    </row>
    <row r="2246" spans="13:18">
      <c r="M2246" s="19"/>
      <c r="N2246" s="19"/>
      <c r="O2246" s="19"/>
      <c r="P2246" s="19"/>
      <c r="Q2246" s="19"/>
      <c r="R2246" s="19"/>
    </row>
    <row r="2247" spans="13:18">
      <c r="M2247" s="19"/>
      <c r="N2247" s="19"/>
      <c r="O2247" s="19"/>
      <c r="P2247" s="19"/>
      <c r="Q2247" s="19"/>
      <c r="R2247" s="19"/>
    </row>
    <row r="2248" spans="13:18">
      <c r="M2248" s="19"/>
      <c r="N2248" s="19"/>
      <c r="O2248" s="19"/>
      <c r="P2248" s="19"/>
      <c r="Q2248" s="19"/>
      <c r="R2248" s="19"/>
    </row>
    <row r="2249" spans="13:18">
      <c r="M2249" s="19"/>
      <c r="N2249" s="19"/>
      <c r="O2249" s="19"/>
      <c r="P2249" s="19"/>
      <c r="Q2249" s="19"/>
      <c r="R2249" s="19"/>
    </row>
    <row r="2250" spans="13:18">
      <c r="M2250" s="19"/>
      <c r="N2250" s="19"/>
      <c r="O2250" s="19"/>
      <c r="P2250" s="19"/>
      <c r="Q2250" s="19"/>
      <c r="R2250" s="19"/>
    </row>
    <row r="2251" spans="13:18">
      <c r="M2251" s="19"/>
      <c r="N2251" s="19"/>
      <c r="O2251" s="19"/>
      <c r="P2251" s="19"/>
      <c r="Q2251" s="19"/>
      <c r="R2251" s="19"/>
    </row>
    <row r="2252" spans="13:18">
      <c r="M2252" s="19"/>
      <c r="N2252" s="19"/>
      <c r="O2252" s="19"/>
      <c r="P2252" s="19"/>
      <c r="Q2252" s="19"/>
      <c r="R2252" s="19"/>
    </row>
    <row r="2253" spans="13:18">
      <c r="M2253" s="19"/>
      <c r="N2253" s="19"/>
      <c r="O2253" s="19"/>
      <c r="P2253" s="19"/>
      <c r="Q2253" s="19"/>
      <c r="R2253" s="19"/>
    </row>
    <row r="2254" spans="13:18">
      <c r="M2254" s="19"/>
      <c r="N2254" s="19"/>
      <c r="O2254" s="19"/>
      <c r="P2254" s="19"/>
      <c r="Q2254" s="19"/>
      <c r="R2254" s="19"/>
    </row>
    <row r="2255" spans="13:18">
      <c r="M2255" s="19"/>
      <c r="N2255" s="19"/>
      <c r="O2255" s="19"/>
      <c r="P2255" s="19"/>
      <c r="Q2255" s="19"/>
      <c r="R2255" s="19"/>
    </row>
    <row r="2256" spans="13:18">
      <c r="M2256" s="19"/>
      <c r="N2256" s="19"/>
      <c r="O2256" s="19"/>
      <c r="P2256" s="19"/>
      <c r="Q2256" s="19"/>
      <c r="R2256" s="19"/>
    </row>
    <row r="2257" spans="13:18">
      <c r="M2257" s="19"/>
      <c r="N2257" s="19"/>
      <c r="O2257" s="19"/>
      <c r="P2257" s="19"/>
      <c r="Q2257" s="19"/>
      <c r="R2257" s="19"/>
    </row>
    <row r="2258" spans="13:18">
      <c r="M2258" s="19"/>
      <c r="N2258" s="19"/>
      <c r="O2258" s="19"/>
      <c r="P2258" s="19"/>
      <c r="Q2258" s="19"/>
      <c r="R2258" s="19"/>
    </row>
    <row r="2259" spans="13:18">
      <c r="M2259" s="19"/>
      <c r="N2259" s="19"/>
      <c r="O2259" s="19"/>
      <c r="P2259" s="19"/>
      <c r="Q2259" s="19"/>
      <c r="R2259" s="19"/>
    </row>
    <row r="2260" spans="13:18">
      <c r="M2260" s="19"/>
      <c r="N2260" s="19"/>
      <c r="O2260" s="19"/>
      <c r="P2260" s="19"/>
      <c r="Q2260" s="19"/>
      <c r="R2260" s="19"/>
    </row>
    <row r="2261" spans="13:18">
      <c r="M2261" s="19"/>
      <c r="N2261" s="19"/>
      <c r="O2261" s="19"/>
      <c r="P2261" s="19"/>
      <c r="Q2261" s="19"/>
      <c r="R2261" s="19"/>
    </row>
    <row r="2262" spans="13:18">
      <c r="M2262" s="19"/>
      <c r="N2262" s="19"/>
      <c r="O2262" s="19"/>
      <c r="P2262" s="19"/>
      <c r="Q2262" s="19"/>
      <c r="R2262" s="19"/>
    </row>
    <row r="2263" spans="13:18">
      <c r="M2263" s="19"/>
      <c r="N2263" s="19"/>
      <c r="O2263" s="19"/>
      <c r="P2263" s="19"/>
      <c r="Q2263" s="19"/>
      <c r="R2263" s="19"/>
    </row>
    <row r="2264" spans="13:18">
      <c r="M2264" s="19"/>
      <c r="N2264" s="19"/>
      <c r="O2264" s="19"/>
      <c r="P2264" s="19"/>
      <c r="Q2264" s="19"/>
      <c r="R2264" s="19"/>
    </row>
    <row r="2265" spans="13:18">
      <c r="M2265" s="19"/>
      <c r="N2265" s="19"/>
      <c r="O2265" s="19"/>
      <c r="P2265" s="19"/>
      <c r="Q2265" s="19"/>
      <c r="R2265" s="19"/>
    </row>
    <row r="2266" spans="13:18">
      <c r="M2266" s="19"/>
      <c r="N2266" s="19"/>
      <c r="O2266" s="19"/>
      <c r="P2266" s="19"/>
      <c r="Q2266" s="19"/>
      <c r="R2266" s="19"/>
    </row>
    <row r="2267" spans="13:18">
      <c r="M2267" s="19"/>
      <c r="N2267" s="19"/>
      <c r="O2267" s="19"/>
      <c r="P2267" s="19"/>
      <c r="Q2267" s="19"/>
      <c r="R2267" s="19"/>
    </row>
    <row r="2268" spans="13:18">
      <c r="M2268" s="19"/>
      <c r="N2268" s="19"/>
      <c r="O2268" s="19"/>
      <c r="P2268" s="19"/>
      <c r="Q2268" s="19"/>
      <c r="R2268" s="19"/>
    </row>
    <row r="2269" spans="13:18">
      <c r="M2269" s="19"/>
      <c r="N2269" s="19"/>
      <c r="O2269" s="19"/>
      <c r="P2269" s="19"/>
      <c r="Q2269" s="19"/>
      <c r="R2269" s="19"/>
    </row>
    <row r="2270" spans="13:18">
      <c r="M2270" s="19"/>
      <c r="N2270" s="19"/>
      <c r="O2270" s="19"/>
      <c r="P2270" s="19"/>
      <c r="Q2270" s="19"/>
      <c r="R2270" s="19"/>
    </row>
    <row r="2271" spans="13:18">
      <c r="M2271" s="19"/>
      <c r="N2271" s="19"/>
      <c r="O2271" s="19"/>
      <c r="P2271" s="19"/>
      <c r="Q2271" s="19"/>
      <c r="R2271" s="19"/>
    </row>
    <row r="2272" spans="13:18">
      <c r="M2272" s="19"/>
      <c r="N2272" s="19"/>
      <c r="O2272" s="19"/>
      <c r="P2272" s="19"/>
      <c r="Q2272" s="19"/>
      <c r="R2272" s="19"/>
    </row>
    <row r="2273" spans="13:18">
      <c r="M2273" s="19"/>
      <c r="N2273" s="19"/>
      <c r="O2273" s="19"/>
      <c r="P2273" s="19"/>
      <c r="Q2273" s="19"/>
      <c r="R2273" s="19"/>
    </row>
    <row r="2274" spans="13:18">
      <c r="M2274" s="19"/>
      <c r="N2274" s="19"/>
      <c r="O2274" s="19"/>
      <c r="P2274" s="19"/>
      <c r="Q2274" s="19"/>
      <c r="R2274" s="19"/>
    </row>
    <row r="2275" spans="13:18">
      <c r="M2275" s="19"/>
      <c r="N2275" s="19"/>
      <c r="O2275" s="19"/>
      <c r="P2275" s="19"/>
      <c r="Q2275" s="19"/>
      <c r="R2275" s="19"/>
    </row>
    <row r="2276" spans="13:18">
      <c r="M2276" s="19"/>
      <c r="N2276" s="19"/>
      <c r="O2276" s="19"/>
      <c r="P2276" s="19"/>
      <c r="Q2276" s="19"/>
      <c r="R2276" s="19"/>
    </row>
    <row r="2277" spans="13:18">
      <c r="M2277" s="19"/>
      <c r="N2277" s="19"/>
      <c r="O2277" s="19"/>
      <c r="P2277" s="19"/>
      <c r="Q2277" s="19"/>
      <c r="R2277" s="19"/>
    </row>
    <row r="2278" spans="13:18">
      <c r="M2278" s="19"/>
      <c r="N2278" s="19"/>
      <c r="O2278" s="19"/>
      <c r="P2278" s="19"/>
      <c r="Q2278" s="19"/>
      <c r="R2278" s="19"/>
    </row>
    <row r="2279" spans="13:18">
      <c r="M2279" s="19"/>
      <c r="N2279" s="19"/>
      <c r="O2279" s="19"/>
      <c r="P2279" s="19"/>
      <c r="Q2279" s="19"/>
      <c r="R2279" s="19"/>
    </row>
    <row r="2280" spans="13:18">
      <c r="M2280" s="19"/>
      <c r="N2280" s="19"/>
      <c r="O2280" s="19"/>
      <c r="P2280" s="19"/>
      <c r="Q2280" s="19"/>
      <c r="R2280" s="19"/>
    </row>
    <row r="2281" spans="13:18">
      <c r="M2281" s="19"/>
      <c r="N2281" s="19"/>
      <c r="O2281" s="19"/>
      <c r="P2281" s="19"/>
      <c r="Q2281" s="19"/>
      <c r="R2281" s="19"/>
    </row>
    <row r="2282" spans="13:18">
      <c r="M2282" s="19"/>
      <c r="N2282" s="19"/>
      <c r="O2282" s="19"/>
      <c r="P2282" s="19"/>
      <c r="Q2282" s="19"/>
      <c r="R2282" s="19"/>
    </row>
    <row r="2283" spans="13:18">
      <c r="M2283" s="19"/>
      <c r="N2283" s="19"/>
      <c r="O2283" s="19"/>
      <c r="P2283" s="19"/>
      <c r="Q2283" s="19"/>
      <c r="R2283" s="19"/>
    </row>
    <row r="2284" spans="13:18">
      <c r="M2284" s="19"/>
      <c r="N2284" s="19"/>
      <c r="O2284" s="19"/>
      <c r="P2284" s="19"/>
      <c r="Q2284" s="19"/>
      <c r="R2284" s="19"/>
    </row>
    <row r="2285" spans="13:18">
      <c r="M2285" s="19"/>
      <c r="N2285" s="19"/>
      <c r="O2285" s="19"/>
      <c r="P2285" s="19"/>
      <c r="Q2285" s="19"/>
      <c r="R2285" s="19"/>
    </row>
    <row r="2286" spans="13:18">
      <c r="M2286" s="19"/>
      <c r="N2286" s="19"/>
      <c r="O2286" s="19"/>
      <c r="P2286" s="19"/>
      <c r="Q2286" s="19"/>
      <c r="R2286" s="19"/>
    </row>
    <row r="2287" spans="13:18">
      <c r="M2287" s="19"/>
      <c r="N2287" s="19"/>
      <c r="O2287" s="19"/>
      <c r="P2287" s="19"/>
      <c r="Q2287" s="19"/>
      <c r="R2287" s="19"/>
    </row>
    <row r="2288" spans="13:18">
      <c r="M2288" s="19"/>
      <c r="N2288" s="19"/>
      <c r="O2288" s="19"/>
      <c r="P2288" s="19"/>
      <c r="Q2288" s="19"/>
      <c r="R2288" s="19"/>
    </row>
    <row r="2289" spans="13:18">
      <c r="M2289" s="19"/>
      <c r="N2289" s="19"/>
      <c r="O2289" s="19"/>
      <c r="P2289" s="19"/>
      <c r="Q2289" s="19"/>
      <c r="R2289" s="19"/>
    </row>
    <row r="2290" spans="13:18">
      <c r="M2290" s="19"/>
      <c r="N2290" s="19"/>
      <c r="O2290" s="19"/>
      <c r="P2290" s="19"/>
      <c r="Q2290" s="19"/>
      <c r="R2290" s="19"/>
    </row>
    <row r="2291" spans="13:18">
      <c r="M2291" s="19"/>
      <c r="N2291" s="19"/>
      <c r="O2291" s="19"/>
      <c r="P2291" s="19"/>
      <c r="Q2291" s="19"/>
      <c r="R2291" s="19"/>
    </row>
    <row r="2292" spans="13:18">
      <c r="M2292" s="19"/>
      <c r="N2292" s="19"/>
      <c r="O2292" s="19"/>
      <c r="P2292" s="19"/>
      <c r="Q2292" s="19"/>
      <c r="R2292" s="19"/>
    </row>
    <row r="2293" spans="13:18">
      <c r="M2293" s="19"/>
      <c r="N2293" s="19"/>
      <c r="O2293" s="19"/>
      <c r="P2293" s="19"/>
      <c r="Q2293" s="19"/>
      <c r="R2293" s="19"/>
    </row>
    <row r="2294" spans="13:18">
      <c r="M2294" s="19"/>
      <c r="N2294" s="19"/>
      <c r="O2294" s="19"/>
      <c r="P2294" s="19"/>
      <c r="Q2294" s="19"/>
      <c r="R2294" s="19"/>
    </row>
    <row r="2295" spans="13:18">
      <c r="M2295" s="19"/>
      <c r="N2295" s="19"/>
      <c r="O2295" s="19"/>
      <c r="P2295" s="19"/>
      <c r="Q2295" s="19"/>
      <c r="R2295" s="19"/>
    </row>
    <row r="2296" spans="13:18">
      <c r="M2296" s="19"/>
      <c r="N2296" s="19"/>
      <c r="O2296" s="19"/>
      <c r="P2296" s="19"/>
      <c r="Q2296" s="19"/>
      <c r="R2296" s="19"/>
    </row>
    <row r="2297" spans="13:18">
      <c r="M2297" s="19"/>
      <c r="N2297" s="19"/>
      <c r="O2297" s="19"/>
      <c r="P2297" s="19"/>
      <c r="Q2297" s="19"/>
      <c r="R2297" s="19"/>
    </row>
    <row r="2298" spans="13:18">
      <c r="M2298" s="19"/>
      <c r="N2298" s="19"/>
      <c r="O2298" s="19"/>
      <c r="P2298" s="19"/>
      <c r="Q2298" s="19"/>
      <c r="R2298" s="19"/>
    </row>
    <row r="2299" spans="13:18">
      <c r="M2299" s="19"/>
      <c r="N2299" s="19"/>
      <c r="O2299" s="19"/>
      <c r="P2299" s="19"/>
      <c r="Q2299" s="19"/>
      <c r="R2299" s="19"/>
    </row>
    <row r="2300" spans="13:18">
      <c r="M2300" s="19"/>
      <c r="N2300" s="19"/>
      <c r="O2300" s="19"/>
      <c r="P2300" s="19"/>
      <c r="Q2300" s="19"/>
      <c r="R2300" s="19"/>
    </row>
    <row r="2301" spans="13:18">
      <c r="M2301" s="19"/>
      <c r="N2301" s="19"/>
      <c r="O2301" s="19"/>
      <c r="P2301" s="19"/>
      <c r="Q2301" s="19"/>
      <c r="R2301" s="19"/>
    </row>
    <row r="2302" spans="13:18">
      <c r="M2302" s="19"/>
      <c r="N2302" s="19"/>
      <c r="O2302" s="19"/>
      <c r="P2302" s="19"/>
      <c r="Q2302" s="19"/>
      <c r="R2302" s="19"/>
    </row>
    <row r="2303" spans="13:18">
      <c r="M2303" s="19"/>
      <c r="N2303" s="19"/>
      <c r="O2303" s="19"/>
      <c r="P2303" s="19"/>
      <c r="Q2303" s="19"/>
      <c r="R2303" s="19"/>
    </row>
    <row r="2304" spans="13:18">
      <c r="M2304" s="19"/>
      <c r="N2304" s="19"/>
      <c r="O2304" s="19"/>
      <c r="P2304" s="19"/>
      <c r="Q2304" s="19"/>
      <c r="R2304" s="19"/>
    </row>
    <row r="2305" spans="13:18">
      <c r="M2305" s="19"/>
      <c r="N2305" s="19"/>
      <c r="O2305" s="19"/>
      <c r="P2305" s="19"/>
      <c r="Q2305" s="19"/>
      <c r="R2305" s="19"/>
    </row>
    <row r="2306" spans="13:18">
      <c r="M2306" s="19"/>
      <c r="N2306" s="19"/>
      <c r="O2306" s="19"/>
      <c r="P2306" s="19"/>
      <c r="Q2306" s="19"/>
      <c r="R2306" s="19"/>
    </row>
    <row r="2307" spans="13:18">
      <c r="M2307" s="19"/>
      <c r="N2307" s="19"/>
      <c r="O2307" s="19"/>
      <c r="P2307" s="19"/>
      <c r="Q2307" s="19"/>
      <c r="R2307" s="19"/>
    </row>
    <row r="2308" spans="13:18">
      <c r="M2308" s="19"/>
      <c r="N2308" s="19"/>
      <c r="O2308" s="19"/>
      <c r="P2308" s="19"/>
      <c r="Q2308" s="19"/>
      <c r="R2308" s="19"/>
    </row>
    <row r="2309" spans="13:18">
      <c r="M2309" s="19"/>
      <c r="N2309" s="19"/>
      <c r="O2309" s="19"/>
      <c r="P2309" s="19"/>
      <c r="Q2309" s="19"/>
      <c r="R2309" s="19"/>
    </row>
    <row r="2310" spans="13:18">
      <c r="M2310" s="19"/>
      <c r="N2310" s="19"/>
      <c r="O2310" s="19"/>
      <c r="P2310" s="19"/>
      <c r="Q2310" s="19"/>
      <c r="R2310" s="19"/>
    </row>
    <row r="2311" spans="13:18">
      <c r="M2311" s="19"/>
      <c r="N2311" s="19"/>
      <c r="O2311" s="19"/>
      <c r="P2311" s="19"/>
      <c r="Q2311" s="19"/>
      <c r="R2311" s="19"/>
    </row>
    <row r="2312" spans="13:18">
      <c r="M2312" s="19"/>
      <c r="N2312" s="19"/>
      <c r="O2312" s="19"/>
      <c r="P2312" s="19"/>
      <c r="Q2312" s="19"/>
      <c r="R2312" s="19"/>
    </row>
    <row r="2313" spans="13:18">
      <c r="M2313" s="19"/>
      <c r="N2313" s="19"/>
      <c r="O2313" s="19"/>
      <c r="P2313" s="19"/>
      <c r="Q2313" s="19"/>
      <c r="R2313" s="19"/>
    </row>
    <row r="2314" spans="13:18">
      <c r="M2314" s="19"/>
      <c r="N2314" s="19"/>
      <c r="O2314" s="19"/>
      <c r="P2314" s="19"/>
      <c r="Q2314" s="19"/>
      <c r="R2314" s="19"/>
    </row>
    <row r="2315" spans="13:18">
      <c r="M2315" s="19"/>
      <c r="N2315" s="19"/>
      <c r="O2315" s="19"/>
      <c r="P2315" s="19"/>
      <c r="Q2315" s="19"/>
      <c r="R2315" s="19"/>
    </row>
    <row r="2316" spans="13:18">
      <c r="M2316" s="19"/>
      <c r="N2316" s="19"/>
      <c r="O2316" s="19"/>
      <c r="P2316" s="19"/>
      <c r="Q2316" s="19"/>
      <c r="R2316" s="19"/>
    </row>
    <row r="2317" spans="13:18">
      <c r="M2317" s="19"/>
      <c r="N2317" s="19"/>
      <c r="O2317" s="19"/>
      <c r="P2317" s="19"/>
      <c r="Q2317" s="19"/>
      <c r="R2317" s="19"/>
    </row>
    <row r="2318" spans="13:18">
      <c r="M2318" s="19"/>
      <c r="N2318" s="19"/>
      <c r="O2318" s="19"/>
      <c r="P2318" s="19"/>
      <c r="Q2318" s="19"/>
      <c r="R2318" s="19"/>
    </row>
    <row r="2319" spans="13:18">
      <c r="M2319" s="19"/>
      <c r="N2319" s="19"/>
      <c r="O2319" s="19"/>
      <c r="P2319" s="19"/>
      <c r="Q2319" s="19"/>
      <c r="R2319" s="19"/>
    </row>
    <row r="2320" spans="13:18">
      <c r="M2320" s="19"/>
      <c r="N2320" s="19"/>
      <c r="O2320" s="19"/>
      <c r="P2320" s="19"/>
      <c r="Q2320" s="19"/>
      <c r="R2320" s="19"/>
    </row>
    <row r="2321" spans="13:18">
      <c r="M2321" s="19"/>
      <c r="N2321" s="19"/>
      <c r="O2321" s="19"/>
      <c r="P2321" s="19"/>
      <c r="Q2321" s="19"/>
      <c r="R2321" s="19"/>
    </row>
    <row r="2322" spans="13:18">
      <c r="M2322" s="19"/>
      <c r="N2322" s="19"/>
      <c r="O2322" s="19"/>
      <c r="P2322" s="19"/>
      <c r="Q2322" s="19"/>
      <c r="R2322" s="19"/>
    </row>
    <row r="2323" spans="13:18">
      <c r="M2323" s="19"/>
      <c r="N2323" s="19"/>
      <c r="O2323" s="19"/>
      <c r="P2323" s="19"/>
      <c r="Q2323" s="19"/>
      <c r="R2323" s="19"/>
    </row>
    <row r="2324" spans="13:18">
      <c r="M2324" s="19"/>
      <c r="N2324" s="19"/>
      <c r="O2324" s="19"/>
      <c r="P2324" s="19"/>
      <c r="Q2324" s="19"/>
      <c r="R2324" s="19"/>
    </row>
    <row r="2325" spans="13:18">
      <c r="M2325" s="19"/>
      <c r="N2325" s="19"/>
      <c r="O2325" s="19"/>
      <c r="P2325" s="19"/>
      <c r="Q2325" s="19"/>
      <c r="R2325" s="19"/>
    </row>
    <row r="2326" spans="13:18">
      <c r="M2326" s="19"/>
      <c r="N2326" s="19"/>
      <c r="O2326" s="19"/>
      <c r="P2326" s="19"/>
      <c r="Q2326" s="19"/>
      <c r="R2326" s="19"/>
    </row>
    <row r="2327" spans="13:18">
      <c r="M2327" s="19"/>
      <c r="N2327" s="19"/>
      <c r="O2327" s="19"/>
      <c r="P2327" s="19"/>
      <c r="Q2327" s="19"/>
      <c r="R2327" s="19"/>
    </row>
    <row r="2328" spans="13:18">
      <c r="M2328" s="19"/>
      <c r="N2328" s="19"/>
      <c r="O2328" s="19"/>
      <c r="P2328" s="19"/>
      <c r="Q2328" s="19"/>
      <c r="R2328" s="19"/>
    </row>
    <row r="2329" spans="13:18">
      <c r="M2329" s="19"/>
      <c r="N2329" s="19"/>
      <c r="O2329" s="19"/>
      <c r="P2329" s="19"/>
      <c r="Q2329" s="19"/>
      <c r="R2329" s="19"/>
    </row>
    <row r="2330" spans="13:18">
      <c r="M2330" s="19"/>
      <c r="N2330" s="19"/>
      <c r="O2330" s="19"/>
      <c r="P2330" s="19"/>
      <c r="Q2330" s="19"/>
      <c r="R2330" s="19"/>
    </row>
    <row r="2331" spans="13:18">
      <c r="M2331" s="19"/>
      <c r="N2331" s="19"/>
      <c r="O2331" s="19"/>
      <c r="P2331" s="19"/>
      <c r="Q2331" s="19"/>
      <c r="R2331" s="19"/>
    </row>
    <row r="2332" spans="13:18">
      <c r="M2332" s="19"/>
      <c r="N2332" s="19"/>
      <c r="O2332" s="19"/>
      <c r="P2332" s="19"/>
      <c r="Q2332" s="19"/>
      <c r="R2332" s="19"/>
    </row>
    <row r="2333" spans="13:18">
      <c r="M2333" s="19"/>
      <c r="N2333" s="19"/>
      <c r="O2333" s="19"/>
      <c r="P2333" s="19"/>
      <c r="Q2333" s="19"/>
      <c r="R2333" s="19"/>
    </row>
    <row r="2334" spans="13:18">
      <c r="M2334" s="19"/>
      <c r="N2334" s="19"/>
      <c r="O2334" s="19"/>
      <c r="P2334" s="19"/>
      <c r="Q2334" s="19"/>
      <c r="R2334" s="19"/>
    </row>
    <row r="2335" spans="13:18">
      <c r="M2335" s="19"/>
      <c r="N2335" s="19"/>
      <c r="O2335" s="19"/>
      <c r="P2335" s="19"/>
      <c r="Q2335" s="19"/>
      <c r="R2335" s="19"/>
    </row>
    <row r="2336" spans="13:18">
      <c r="M2336" s="19"/>
      <c r="N2336" s="19"/>
      <c r="O2336" s="19"/>
      <c r="P2336" s="19"/>
      <c r="Q2336" s="19"/>
      <c r="R2336" s="19"/>
    </row>
    <row r="2337" spans="13:18">
      <c r="M2337" s="19"/>
      <c r="N2337" s="19"/>
      <c r="O2337" s="19"/>
      <c r="P2337" s="19"/>
      <c r="Q2337" s="19"/>
      <c r="R2337" s="19"/>
    </row>
    <row r="2338" spans="13:18">
      <c r="M2338" s="19"/>
      <c r="N2338" s="19"/>
      <c r="O2338" s="19"/>
      <c r="P2338" s="19"/>
      <c r="Q2338" s="19"/>
      <c r="R2338" s="19"/>
    </row>
    <row r="2339" spans="13:18">
      <c r="M2339" s="19"/>
      <c r="N2339" s="19"/>
      <c r="O2339" s="19"/>
      <c r="P2339" s="19"/>
      <c r="Q2339" s="19"/>
      <c r="R2339" s="19"/>
    </row>
    <row r="2340" spans="13:18">
      <c r="M2340" s="19"/>
      <c r="N2340" s="19"/>
      <c r="O2340" s="19"/>
      <c r="P2340" s="19"/>
      <c r="Q2340" s="19"/>
      <c r="R2340" s="19"/>
    </row>
    <row r="2341" spans="13:18">
      <c r="M2341" s="19"/>
      <c r="N2341" s="19"/>
      <c r="O2341" s="19"/>
      <c r="P2341" s="19"/>
      <c r="Q2341" s="19"/>
      <c r="R2341" s="19"/>
    </row>
    <row r="2342" spans="13:18">
      <c r="M2342" s="19"/>
      <c r="N2342" s="19"/>
      <c r="O2342" s="19"/>
      <c r="P2342" s="19"/>
      <c r="Q2342" s="19"/>
      <c r="R2342" s="19"/>
    </row>
    <row r="2343" spans="13:18">
      <c r="M2343" s="19"/>
      <c r="N2343" s="19"/>
      <c r="O2343" s="19"/>
      <c r="P2343" s="19"/>
      <c r="Q2343" s="19"/>
      <c r="R2343" s="19"/>
    </row>
    <row r="2344" spans="13:18">
      <c r="M2344" s="19"/>
      <c r="N2344" s="19"/>
      <c r="O2344" s="19"/>
      <c r="P2344" s="19"/>
      <c r="Q2344" s="19"/>
      <c r="R2344" s="19"/>
    </row>
    <row r="2345" spans="13:18">
      <c r="M2345" s="19"/>
      <c r="N2345" s="19"/>
      <c r="O2345" s="19"/>
      <c r="P2345" s="19"/>
      <c r="Q2345" s="19"/>
      <c r="R2345" s="19"/>
    </row>
    <row r="2346" spans="13:18">
      <c r="M2346" s="19"/>
      <c r="N2346" s="19"/>
      <c r="O2346" s="19"/>
      <c r="P2346" s="19"/>
      <c r="Q2346" s="19"/>
      <c r="R2346" s="19"/>
    </row>
    <row r="2347" spans="13:18">
      <c r="M2347" s="19"/>
      <c r="N2347" s="19"/>
      <c r="O2347" s="19"/>
      <c r="P2347" s="19"/>
      <c r="Q2347" s="19"/>
      <c r="R2347" s="19"/>
    </row>
    <row r="2348" spans="13:18">
      <c r="M2348" s="19"/>
      <c r="N2348" s="19"/>
      <c r="O2348" s="19"/>
      <c r="P2348" s="19"/>
      <c r="Q2348" s="19"/>
      <c r="R2348" s="19"/>
    </row>
    <row r="2349" spans="13:18">
      <c r="M2349" s="19"/>
      <c r="N2349" s="19"/>
      <c r="O2349" s="19"/>
      <c r="P2349" s="19"/>
      <c r="Q2349" s="19"/>
      <c r="R2349" s="19"/>
    </row>
    <row r="2350" spans="13:18">
      <c r="M2350" s="19"/>
      <c r="N2350" s="19"/>
      <c r="O2350" s="19"/>
      <c r="P2350" s="19"/>
      <c r="Q2350" s="19"/>
      <c r="R2350" s="19"/>
    </row>
    <row r="2351" spans="13:18">
      <c r="M2351" s="19"/>
      <c r="N2351" s="19"/>
      <c r="O2351" s="19"/>
      <c r="P2351" s="19"/>
      <c r="Q2351" s="19"/>
      <c r="R2351" s="19"/>
    </row>
    <row r="2352" spans="13:18">
      <c r="M2352" s="19"/>
      <c r="N2352" s="19"/>
      <c r="O2352" s="19"/>
      <c r="P2352" s="19"/>
      <c r="Q2352" s="19"/>
      <c r="R2352" s="19"/>
    </row>
    <row r="2353" spans="13:18">
      <c r="M2353" s="19"/>
      <c r="N2353" s="19"/>
      <c r="O2353" s="19"/>
      <c r="P2353" s="19"/>
      <c r="Q2353" s="19"/>
      <c r="R2353" s="19"/>
    </row>
    <row r="2354" spans="13:18">
      <c r="M2354" s="19"/>
      <c r="N2354" s="19"/>
      <c r="O2354" s="19"/>
      <c r="P2354" s="19"/>
      <c r="Q2354" s="19"/>
      <c r="R2354" s="19"/>
    </row>
    <row r="2355" spans="13:18">
      <c r="M2355" s="19"/>
      <c r="N2355" s="19"/>
      <c r="O2355" s="19"/>
      <c r="P2355" s="19"/>
      <c r="Q2355" s="19"/>
      <c r="R2355" s="19"/>
    </row>
    <row r="2356" spans="13:18">
      <c r="M2356" s="19"/>
      <c r="N2356" s="19"/>
      <c r="O2356" s="19"/>
      <c r="P2356" s="19"/>
      <c r="Q2356" s="19"/>
      <c r="R2356" s="19"/>
    </row>
    <row r="2357" spans="13:18">
      <c r="M2357" s="19"/>
      <c r="N2357" s="19"/>
      <c r="O2357" s="19"/>
      <c r="P2357" s="19"/>
      <c r="Q2357" s="19"/>
      <c r="R2357" s="19"/>
    </row>
    <row r="2358" spans="13:18">
      <c r="M2358" s="19"/>
      <c r="N2358" s="19"/>
      <c r="O2358" s="19"/>
      <c r="P2358" s="19"/>
      <c r="Q2358" s="19"/>
      <c r="R2358" s="19"/>
    </row>
    <row r="2359" spans="13:18">
      <c r="M2359" s="19"/>
      <c r="N2359" s="19"/>
      <c r="O2359" s="19"/>
      <c r="P2359" s="19"/>
      <c r="Q2359" s="19"/>
      <c r="R2359" s="19"/>
    </row>
    <row r="2360" spans="13:18">
      <c r="M2360" s="19"/>
      <c r="N2360" s="19"/>
      <c r="O2360" s="19"/>
      <c r="P2360" s="19"/>
      <c r="Q2360" s="19"/>
      <c r="R2360" s="19"/>
    </row>
    <row r="2361" spans="13:18">
      <c r="M2361" s="19"/>
      <c r="N2361" s="19"/>
      <c r="O2361" s="19"/>
      <c r="P2361" s="19"/>
      <c r="Q2361" s="19"/>
      <c r="R2361" s="19"/>
    </row>
    <row r="2362" spans="13:18">
      <c r="M2362" s="19"/>
      <c r="N2362" s="19"/>
      <c r="O2362" s="19"/>
      <c r="P2362" s="19"/>
      <c r="Q2362" s="19"/>
      <c r="R2362" s="19"/>
    </row>
    <row r="2363" spans="13:18">
      <c r="M2363" s="19"/>
      <c r="N2363" s="19"/>
      <c r="O2363" s="19"/>
      <c r="P2363" s="19"/>
      <c r="Q2363" s="19"/>
      <c r="R2363" s="19"/>
    </row>
    <row r="2364" spans="13:18">
      <c r="M2364" s="19"/>
      <c r="N2364" s="19"/>
      <c r="O2364" s="19"/>
      <c r="P2364" s="19"/>
      <c r="Q2364" s="19"/>
      <c r="R2364" s="19"/>
    </row>
    <row r="2365" spans="13:18">
      <c r="M2365" s="19"/>
      <c r="N2365" s="19"/>
      <c r="O2365" s="19"/>
      <c r="P2365" s="19"/>
      <c r="Q2365" s="19"/>
      <c r="R2365" s="19"/>
    </row>
    <row r="2366" spans="13:18">
      <c r="M2366" s="19"/>
      <c r="N2366" s="19"/>
      <c r="O2366" s="19"/>
      <c r="P2366" s="19"/>
      <c r="Q2366" s="19"/>
      <c r="R2366" s="19"/>
    </row>
    <row r="2367" spans="13:18">
      <c r="M2367" s="19"/>
      <c r="N2367" s="19"/>
      <c r="O2367" s="19"/>
      <c r="P2367" s="19"/>
      <c r="Q2367" s="19"/>
      <c r="R2367" s="19"/>
    </row>
    <row r="2368" spans="13:18">
      <c r="M2368" s="19"/>
      <c r="N2368" s="19"/>
      <c r="O2368" s="19"/>
      <c r="P2368" s="19"/>
      <c r="Q2368" s="19"/>
      <c r="R2368" s="19"/>
    </row>
    <row r="2369" spans="13:18">
      <c r="M2369" s="19"/>
      <c r="N2369" s="19"/>
      <c r="O2369" s="19"/>
      <c r="P2369" s="19"/>
      <c r="Q2369" s="19"/>
      <c r="R2369" s="19"/>
    </row>
    <row r="2370" spans="13:18">
      <c r="M2370" s="19"/>
      <c r="N2370" s="19"/>
      <c r="O2370" s="19"/>
      <c r="P2370" s="19"/>
      <c r="Q2370" s="19"/>
      <c r="R2370" s="19"/>
    </row>
    <row r="2371" spans="13:18">
      <c r="M2371" s="19"/>
      <c r="N2371" s="19"/>
      <c r="O2371" s="19"/>
      <c r="P2371" s="19"/>
      <c r="Q2371" s="19"/>
      <c r="R2371" s="19"/>
    </row>
    <row r="2372" spans="13:18">
      <c r="M2372" s="19"/>
      <c r="N2372" s="19"/>
      <c r="O2372" s="19"/>
      <c r="P2372" s="19"/>
      <c r="Q2372" s="19"/>
      <c r="R2372" s="19"/>
    </row>
    <row r="2373" spans="13:18">
      <c r="M2373" s="19"/>
      <c r="N2373" s="19"/>
      <c r="O2373" s="19"/>
      <c r="P2373" s="19"/>
      <c r="Q2373" s="19"/>
      <c r="R2373" s="19"/>
    </row>
    <row r="2374" spans="13:18">
      <c r="M2374" s="19"/>
      <c r="N2374" s="19"/>
      <c r="O2374" s="19"/>
      <c r="P2374" s="19"/>
      <c r="Q2374" s="19"/>
      <c r="R2374" s="19"/>
    </row>
    <row r="2375" spans="13:18">
      <c r="M2375" s="19"/>
      <c r="N2375" s="19"/>
      <c r="O2375" s="19"/>
      <c r="P2375" s="19"/>
      <c r="Q2375" s="19"/>
      <c r="R2375" s="19"/>
    </row>
    <row r="2376" spans="13:18">
      <c r="M2376" s="19"/>
      <c r="N2376" s="19"/>
      <c r="O2376" s="19"/>
      <c r="P2376" s="19"/>
      <c r="Q2376" s="19"/>
      <c r="R2376" s="19"/>
    </row>
    <row r="2377" spans="13:18">
      <c r="M2377" s="19"/>
      <c r="N2377" s="19"/>
      <c r="O2377" s="19"/>
      <c r="P2377" s="19"/>
      <c r="Q2377" s="19"/>
      <c r="R2377" s="19"/>
    </row>
    <row r="2378" spans="13:18">
      <c r="M2378" s="19"/>
      <c r="N2378" s="19"/>
      <c r="O2378" s="19"/>
      <c r="P2378" s="19"/>
      <c r="Q2378" s="19"/>
      <c r="R2378" s="19"/>
    </row>
    <row r="2379" spans="13:18">
      <c r="M2379" s="19"/>
      <c r="N2379" s="19"/>
      <c r="O2379" s="19"/>
      <c r="P2379" s="19"/>
      <c r="Q2379" s="19"/>
      <c r="R2379" s="19"/>
    </row>
    <row r="2380" spans="13:18">
      <c r="M2380" s="19"/>
      <c r="N2380" s="19"/>
      <c r="O2380" s="19"/>
      <c r="P2380" s="19"/>
      <c r="Q2380" s="19"/>
      <c r="R2380" s="19"/>
    </row>
    <row r="2381" spans="13:18">
      <c r="M2381" s="19"/>
      <c r="N2381" s="19"/>
      <c r="O2381" s="19"/>
      <c r="P2381" s="19"/>
      <c r="Q2381" s="19"/>
      <c r="R2381" s="19"/>
    </row>
    <row r="2382" spans="13:18">
      <c r="M2382" s="19"/>
      <c r="N2382" s="19"/>
      <c r="O2382" s="19"/>
      <c r="P2382" s="19"/>
      <c r="Q2382" s="19"/>
      <c r="R2382" s="19"/>
    </row>
    <row r="2383" spans="13:18">
      <c r="M2383" s="19"/>
      <c r="N2383" s="19"/>
      <c r="O2383" s="19"/>
      <c r="P2383" s="19"/>
      <c r="Q2383" s="19"/>
      <c r="R2383" s="19"/>
    </row>
    <row r="2384" spans="13:18">
      <c r="M2384" s="19"/>
      <c r="N2384" s="19"/>
      <c r="O2384" s="19"/>
      <c r="P2384" s="19"/>
      <c r="Q2384" s="19"/>
      <c r="R2384" s="19"/>
    </row>
    <row r="2385" spans="13:18">
      <c r="M2385" s="19"/>
      <c r="N2385" s="19"/>
      <c r="O2385" s="19"/>
      <c r="P2385" s="19"/>
      <c r="Q2385" s="19"/>
      <c r="R2385" s="19"/>
    </row>
    <row r="2386" spans="13:18">
      <c r="M2386" s="19"/>
      <c r="N2386" s="19"/>
      <c r="O2386" s="19"/>
      <c r="P2386" s="19"/>
      <c r="Q2386" s="19"/>
      <c r="R2386" s="19"/>
    </row>
    <row r="2387" spans="13:18">
      <c r="M2387" s="19"/>
      <c r="N2387" s="19"/>
      <c r="O2387" s="19"/>
      <c r="P2387" s="19"/>
      <c r="Q2387" s="19"/>
      <c r="R2387" s="19"/>
    </row>
    <row r="2388" spans="13:18">
      <c r="M2388" s="19"/>
      <c r="N2388" s="19"/>
      <c r="O2388" s="19"/>
      <c r="P2388" s="19"/>
      <c r="Q2388" s="19"/>
      <c r="R2388" s="19"/>
    </row>
    <row r="2389" spans="13:18">
      <c r="M2389" s="19"/>
      <c r="N2389" s="19"/>
      <c r="O2389" s="19"/>
      <c r="P2389" s="19"/>
      <c r="Q2389" s="19"/>
      <c r="R2389" s="19"/>
    </row>
    <row r="2390" spans="13:18">
      <c r="M2390" s="19"/>
      <c r="N2390" s="19"/>
      <c r="O2390" s="19"/>
      <c r="P2390" s="19"/>
      <c r="Q2390" s="19"/>
      <c r="R2390" s="19"/>
    </row>
    <row r="2391" spans="13:18">
      <c r="M2391" s="19"/>
      <c r="N2391" s="19"/>
      <c r="O2391" s="19"/>
      <c r="P2391" s="19"/>
      <c r="Q2391" s="19"/>
      <c r="R2391" s="19"/>
    </row>
    <row r="2392" spans="13:18">
      <c r="M2392" s="19"/>
      <c r="N2392" s="19"/>
      <c r="O2392" s="19"/>
      <c r="P2392" s="19"/>
      <c r="Q2392" s="19"/>
      <c r="R2392" s="19"/>
    </row>
    <row r="2393" spans="13:18">
      <c r="M2393" s="19"/>
      <c r="N2393" s="19"/>
      <c r="O2393" s="19"/>
      <c r="P2393" s="19"/>
      <c r="Q2393" s="19"/>
      <c r="R2393" s="19"/>
    </row>
    <row r="2394" spans="13:18">
      <c r="M2394" s="19"/>
      <c r="N2394" s="19"/>
      <c r="O2394" s="19"/>
      <c r="P2394" s="19"/>
      <c r="Q2394" s="19"/>
      <c r="R2394" s="19"/>
    </row>
    <row r="2395" spans="13:18">
      <c r="M2395" s="19"/>
      <c r="N2395" s="19"/>
      <c r="O2395" s="19"/>
      <c r="P2395" s="19"/>
      <c r="Q2395" s="19"/>
      <c r="R2395" s="19"/>
    </row>
    <row r="2396" spans="13:18">
      <c r="M2396" s="19"/>
      <c r="N2396" s="19"/>
      <c r="O2396" s="19"/>
      <c r="P2396" s="19"/>
      <c r="Q2396" s="19"/>
      <c r="R2396" s="19"/>
    </row>
    <row r="2397" spans="13:18">
      <c r="M2397" s="19"/>
      <c r="N2397" s="19"/>
      <c r="O2397" s="19"/>
      <c r="P2397" s="19"/>
      <c r="Q2397" s="19"/>
      <c r="R2397" s="19"/>
    </row>
    <row r="2398" spans="13:18">
      <c r="M2398" s="19"/>
      <c r="N2398" s="19"/>
      <c r="O2398" s="19"/>
      <c r="P2398" s="19"/>
      <c r="Q2398" s="19"/>
      <c r="R2398" s="19"/>
    </row>
    <row r="2399" spans="13:18">
      <c r="M2399" s="19"/>
      <c r="N2399" s="19"/>
      <c r="O2399" s="19"/>
      <c r="P2399" s="19"/>
      <c r="Q2399" s="19"/>
      <c r="R2399" s="19"/>
    </row>
    <row r="2400" spans="13:18">
      <c r="M2400" s="19"/>
      <c r="N2400" s="19"/>
      <c r="O2400" s="19"/>
      <c r="P2400" s="19"/>
      <c r="Q2400" s="19"/>
      <c r="R2400" s="19"/>
    </row>
    <row r="2401" spans="13:18">
      <c r="M2401" s="19"/>
      <c r="N2401" s="19"/>
      <c r="O2401" s="19"/>
      <c r="P2401" s="19"/>
      <c r="Q2401" s="19"/>
      <c r="R2401" s="19"/>
    </row>
    <row r="2402" spans="13:18">
      <c r="M2402" s="19"/>
      <c r="N2402" s="19"/>
      <c r="O2402" s="19"/>
      <c r="P2402" s="19"/>
      <c r="Q2402" s="19"/>
      <c r="R2402" s="19"/>
    </row>
    <row r="2403" spans="13:18">
      <c r="M2403" s="19"/>
      <c r="N2403" s="19"/>
      <c r="O2403" s="19"/>
      <c r="P2403" s="19"/>
      <c r="Q2403" s="19"/>
      <c r="R2403" s="19"/>
    </row>
    <row r="2404" spans="13:18">
      <c r="M2404" s="19"/>
      <c r="N2404" s="19"/>
      <c r="O2404" s="19"/>
      <c r="P2404" s="19"/>
      <c r="Q2404" s="19"/>
      <c r="R2404" s="19"/>
    </row>
    <row r="2405" spans="13:18">
      <c r="M2405" s="19"/>
      <c r="N2405" s="19"/>
      <c r="O2405" s="19"/>
      <c r="P2405" s="19"/>
      <c r="Q2405" s="19"/>
      <c r="R2405" s="19"/>
    </row>
    <row r="2406" spans="13:18">
      <c r="M2406" s="19"/>
      <c r="N2406" s="19"/>
      <c r="O2406" s="19"/>
      <c r="P2406" s="19"/>
      <c r="Q2406" s="19"/>
      <c r="R2406" s="19"/>
    </row>
    <row r="2407" spans="13:18">
      <c r="M2407" s="19"/>
      <c r="N2407" s="19"/>
      <c r="O2407" s="19"/>
      <c r="P2407" s="19"/>
      <c r="Q2407" s="19"/>
      <c r="R2407" s="19"/>
    </row>
    <row r="2408" spans="13:18">
      <c r="M2408" s="19"/>
      <c r="N2408" s="19"/>
      <c r="O2408" s="19"/>
      <c r="P2408" s="19"/>
      <c r="Q2408" s="19"/>
      <c r="R2408" s="19"/>
    </row>
    <row r="2409" spans="13:18">
      <c r="M2409" s="19"/>
      <c r="N2409" s="19"/>
      <c r="O2409" s="19"/>
      <c r="P2409" s="19"/>
      <c r="Q2409" s="19"/>
      <c r="R2409" s="19"/>
    </row>
    <row r="2410" spans="13:18">
      <c r="M2410" s="19"/>
      <c r="N2410" s="19"/>
      <c r="O2410" s="19"/>
      <c r="P2410" s="19"/>
      <c r="Q2410" s="19"/>
      <c r="R2410" s="19"/>
    </row>
    <row r="2411" spans="13:18">
      <c r="M2411" s="19"/>
      <c r="N2411" s="19"/>
      <c r="O2411" s="19"/>
      <c r="P2411" s="19"/>
      <c r="Q2411" s="19"/>
      <c r="R2411" s="19"/>
    </row>
    <row r="2412" spans="13:18">
      <c r="M2412" s="19"/>
      <c r="N2412" s="19"/>
      <c r="O2412" s="19"/>
      <c r="P2412" s="19"/>
      <c r="Q2412" s="19"/>
      <c r="R2412" s="19"/>
    </row>
    <row r="2413" spans="13:18">
      <c r="M2413" s="19"/>
      <c r="N2413" s="19"/>
      <c r="O2413" s="19"/>
      <c r="P2413" s="19"/>
      <c r="Q2413" s="19"/>
      <c r="R2413" s="19"/>
    </row>
    <row r="2414" spans="13:18">
      <c r="M2414" s="19"/>
      <c r="N2414" s="19"/>
      <c r="O2414" s="19"/>
      <c r="P2414" s="19"/>
      <c r="Q2414" s="19"/>
      <c r="R2414" s="19"/>
    </row>
    <row r="2415" spans="13:18">
      <c r="M2415" s="19"/>
      <c r="N2415" s="19"/>
      <c r="O2415" s="19"/>
      <c r="P2415" s="19"/>
      <c r="Q2415" s="19"/>
      <c r="R2415" s="19"/>
    </row>
    <row r="2416" spans="13:18">
      <c r="M2416" s="19"/>
      <c r="N2416" s="19"/>
      <c r="O2416" s="19"/>
      <c r="P2416" s="19"/>
      <c r="Q2416" s="19"/>
      <c r="R2416" s="19"/>
    </row>
    <row r="2417" spans="13:18">
      <c r="M2417" s="19"/>
      <c r="N2417" s="19"/>
      <c r="O2417" s="19"/>
      <c r="P2417" s="19"/>
      <c r="Q2417" s="19"/>
      <c r="R2417" s="19"/>
    </row>
    <row r="2418" spans="13:18">
      <c r="M2418" s="19"/>
      <c r="N2418" s="19"/>
      <c r="O2418" s="19"/>
      <c r="P2418" s="19"/>
      <c r="Q2418" s="19"/>
      <c r="R2418" s="19"/>
    </row>
    <row r="2419" spans="13:18">
      <c r="M2419" s="19"/>
      <c r="N2419" s="19"/>
      <c r="O2419" s="19"/>
      <c r="P2419" s="19"/>
      <c r="Q2419" s="19"/>
      <c r="R2419" s="19"/>
    </row>
    <row r="2420" spans="13:18">
      <c r="M2420" s="19"/>
      <c r="N2420" s="19"/>
      <c r="O2420" s="19"/>
      <c r="P2420" s="19"/>
      <c r="Q2420" s="19"/>
      <c r="R2420" s="19"/>
    </row>
    <row r="2421" spans="13:18">
      <c r="M2421" s="19"/>
      <c r="N2421" s="19"/>
      <c r="O2421" s="19"/>
      <c r="P2421" s="19"/>
      <c r="Q2421" s="19"/>
      <c r="R2421" s="19"/>
    </row>
    <row r="2422" spans="13:18">
      <c r="M2422" s="19"/>
      <c r="N2422" s="19"/>
      <c r="O2422" s="19"/>
      <c r="P2422" s="19"/>
      <c r="Q2422" s="19"/>
      <c r="R2422" s="19"/>
    </row>
    <row r="2423" spans="13:18">
      <c r="M2423" s="19"/>
      <c r="N2423" s="19"/>
      <c r="O2423" s="19"/>
      <c r="P2423" s="19"/>
      <c r="Q2423" s="19"/>
      <c r="R2423" s="19"/>
    </row>
    <row r="2424" spans="13:18">
      <c r="M2424" s="19"/>
      <c r="N2424" s="19"/>
      <c r="O2424" s="19"/>
      <c r="P2424" s="19"/>
      <c r="Q2424" s="19"/>
      <c r="R2424" s="19"/>
    </row>
    <row r="2425" spans="13:18">
      <c r="M2425" s="19"/>
      <c r="N2425" s="19"/>
      <c r="O2425" s="19"/>
      <c r="P2425" s="19"/>
      <c r="Q2425" s="19"/>
      <c r="R2425" s="19"/>
    </row>
    <row r="2426" spans="13:18">
      <c r="M2426" s="19"/>
      <c r="N2426" s="19"/>
      <c r="O2426" s="19"/>
      <c r="P2426" s="19"/>
      <c r="Q2426" s="19"/>
      <c r="R2426" s="19"/>
    </row>
    <row r="2427" spans="13:18">
      <c r="M2427" s="19"/>
      <c r="N2427" s="19"/>
      <c r="O2427" s="19"/>
      <c r="P2427" s="19"/>
      <c r="Q2427" s="19"/>
      <c r="R2427" s="19"/>
    </row>
    <row r="2428" spans="13:18">
      <c r="M2428" s="19"/>
      <c r="N2428" s="19"/>
      <c r="O2428" s="19"/>
      <c r="P2428" s="19"/>
      <c r="Q2428" s="19"/>
      <c r="R2428" s="19"/>
    </row>
    <row r="2429" spans="13:18">
      <c r="M2429" s="19"/>
      <c r="N2429" s="19"/>
      <c r="O2429" s="19"/>
      <c r="P2429" s="19"/>
      <c r="Q2429" s="19"/>
      <c r="R2429" s="19"/>
    </row>
    <row r="2430" spans="13:18">
      <c r="M2430" s="19"/>
      <c r="N2430" s="19"/>
      <c r="O2430" s="19"/>
      <c r="P2430" s="19"/>
      <c r="Q2430" s="19"/>
      <c r="R2430" s="19"/>
    </row>
    <row r="2431" spans="13:18">
      <c r="M2431" s="19"/>
      <c r="N2431" s="19"/>
      <c r="O2431" s="19"/>
      <c r="P2431" s="19"/>
      <c r="Q2431" s="19"/>
      <c r="R2431" s="19"/>
    </row>
    <row r="2432" spans="13:18">
      <c r="M2432" s="19"/>
      <c r="N2432" s="19"/>
      <c r="O2432" s="19"/>
      <c r="P2432" s="19"/>
      <c r="Q2432" s="19"/>
      <c r="R2432" s="19"/>
    </row>
    <row r="2433" spans="13:18">
      <c r="M2433" s="19"/>
      <c r="N2433" s="19"/>
      <c r="O2433" s="19"/>
      <c r="P2433" s="19"/>
      <c r="Q2433" s="19"/>
      <c r="R2433" s="19"/>
    </row>
    <row r="2434" spans="13:18">
      <c r="M2434" s="19"/>
      <c r="N2434" s="19"/>
      <c r="O2434" s="19"/>
      <c r="P2434" s="19"/>
      <c r="Q2434" s="19"/>
      <c r="R2434" s="19"/>
    </row>
    <row r="2435" spans="13:18">
      <c r="M2435" s="19"/>
      <c r="N2435" s="19"/>
      <c r="O2435" s="19"/>
      <c r="P2435" s="19"/>
      <c r="Q2435" s="19"/>
      <c r="R2435" s="19"/>
    </row>
    <row r="2436" spans="13:18">
      <c r="M2436" s="19"/>
      <c r="N2436" s="19"/>
      <c r="O2436" s="19"/>
      <c r="P2436" s="19"/>
      <c r="Q2436" s="19"/>
      <c r="R2436" s="19"/>
    </row>
    <row r="2437" spans="13:18">
      <c r="M2437" s="19"/>
      <c r="N2437" s="19"/>
      <c r="O2437" s="19"/>
      <c r="P2437" s="19"/>
      <c r="Q2437" s="19"/>
      <c r="R2437" s="19"/>
    </row>
    <row r="2438" spans="13:18">
      <c r="M2438" s="19"/>
      <c r="N2438" s="19"/>
      <c r="O2438" s="19"/>
      <c r="P2438" s="19"/>
      <c r="Q2438" s="19"/>
      <c r="R2438" s="19"/>
    </row>
    <row r="2439" spans="13:18">
      <c r="M2439" s="19"/>
      <c r="N2439" s="19"/>
      <c r="O2439" s="19"/>
      <c r="P2439" s="19"/>
      <c r="Q2439" s="19"/>
      <c r="R2439" s="19"/>
    </row>
    <row r="2440" spans="13:18">
      <c r="M2440" s="19"/>
      <c r="N2440" s="19"/>
      <c r="O2440" s="19"/>
      <c r="P2440" s="19"/>
      <c r="Q2440" s="19"/>
      <c r="R2440" s="19"/>
    </row>
    <row r="2441" spans="13:18">
      <c r="M2441" s="19"/>
      <c r="N2441" s="19"/>
      <c r="O2441" s="19"/>
      <c r="P2441" s="19"/>
      <c r="Q2441" s="19"/>
      <c r="R2441" s="19"/>
    </row>
    <row r="2442" spans="13:18">
      <c r="M2442" s="19"/>
      <c r="N2442" s="19"/>
      <c r="O2442" s="19"/>
      <c r="P2442" s="19"/>
      <c r="Q2442" s="19"/>
      <c r="R2442" s="19"/>
    </row>
    <row r="2443" spans="13:18">
      <c r="M2443" s="19"/>
      <c r="N2443" s="19"/>
      <c r="O2443" s="19"/>
      <c r="P2443" s="19"/>
      <c r="Q2443" s="19"/>
      <c r="R2443" s="19"/>
    </row>
    <row r="2444" spans="13:18">
      <c r="M2444" s="19"/>
      <c r="N2444" s="19"/>
      <c r="O2444" s="19"/>
      <c r="P2444" s="19"/>
      <c r="Q2444" s="19"/>
      <c r="R2444" s="19"/>
    </row>
    <row r="2445" spans="13:18">
      <c r="M2445" s="19"/>
      <c r="N2445" s="19"/>
      <c r="O2445" s="19"/>
      <c r="P2445" s="19"/>
      <c r="Q2445" s="19"/>
      <c r="R2445" s="19"/>
    </row>
    <row r="2446" spans="13:18">
      <c r="M2446" s="19"/>
      <c r="N2446" s="19"/>
      <c r="O2446" s="19"/>
      <c r="P2446" s="19"/>
      <c r="Q2446" s="19"/>
      <c r="R2446" s="19"/>
    </row>
    <row r="2447" spans="13:18">
      <c r="M2447" s="19"/>
      <c r="N2447" s="19"/>
      <c r="O2447" s="19"/>
      <c r="P2447" s="19"/>
      <c r="Q2447" s="19"/>
      <c r="R2447" s="19"/>
    </row>
    <row r="2448" spans="13:18">
      <c r="M2448" s="19"/>
      <c r="N2448" s="19"/>
      <c r="O2448" s="19"/>
      <c r="P2448" s="19"/>
      <c r="Q2448" s="19"/>
      <c r="R2448" s="19"/>
    </row>
    <row r="2449" spans="13:18">
      <c r="M2449" s="19"/>
      <c r="N2449" s="19"/>
      <c r="O2449" s="19"/>
      <c r="P2449" s="19"/>
      <c r="Q2449" s="19"/>
      <c r="R2449" s="19"/>
    </row>
    <row r="2450" spans="13:18">
      <c r="M2450" s="19"/>
      <c r="N2450" s="19"/>
      <c r="O2450" s="19"/>
      <c r="P2450" s="19"/>
      <c r="Q2450" s="19"/>
      <c r="R2450" s="19"/>
    </row>
    <row r="2451" spans="13:18">
      <c r="M2451" s="19"/>
      <c r="N2451" s="19"/>
      <c r="O2451" s="19"/>
      <c r="P2451" s="19"/>
      <c r="Q2451" s="19"/>
      <c r="R2451" s="19"/>
    </row>
    <row r="2452" spans="13:18">
      <c r="M2452" s="19"/>
      <c r="N2452" s="19"/>
      <c r="O2452" s="19"/>
      <c r="P2452" s="19"/>
      <c r="Q2452" s="19"/>
      <c r="R2452" s="19"/>
    </row>
    <row r="2453" spans="13:18">
      <c r="M2453" s="19"/>
      <c r="N2453" s="19"/>
      <c r="O2453" s="19"/>
      <c r="P2453" s="19"/>
      <c r="Q2453" s="19"/>
      <c r="R2453" s="19"/>
    </row>
    <row r="2454" spans="13:18">
      <c r="M2454" s="19"/>
      <c r="N2454" s="19"/>
      <c r="O2454" s="19"/>
      <c r="P2454" s="19"/>
      <c r="Q2454" s="19"/>
      <c r="R2454" s="19"/>
    </row>
    <row r="2455" spans="13:18">
      <c r="M2455" s="19"/>
      <c r="N2455" s="19"/>
      <c r="O2455" s="19"/>
      <c r="P2455" s="19"/>
      <c r="Q2455" s="19"/>
      <c r="R2455" s="19"/>
    </row>
    <row r="2456" spans="13:18">
      <c r="M2456" s="19"/>
      <c r="N2456" s="19"/>
      <c r="O2456" s="19"/>
      <c r="P2456" s="19"/>
      <c r="Q2456" s="19"/>
      <c r="R2456" s="19"/>
    </row>
    <row r="2457" spans="13:18">
      <c r="M2457" s="19"/>
      <c r="N2457" s="19"/>
      <c r="O2457" s="19"/>
      <c r="P2457" s="19"/>
      <c r="Q2457" s="19"/>
      <c r="R2457" s="19"/>
    </row>
    <row r="2458" spans="13:18">
      <c r="M2458" s="19"/>
      <c r="N2458" s="19"/>
      <c r="O2458" s="19"/>
      <c r="P2458" s="19"/>
      <c r="Q2458" s="19"/>
      <c r="R2458" s="19"/>
    </row>
    <row r="2459" spans="13:18">
      <c r="M2459" s="19"/>
      <c r="N2459" s="19"/>
      <c r="O2459" s="19"/>
      <c r="P2459" s="19"/>
      <c r="Q2459" s="19"/>
      <c r="R2459" s="19"/>
    </row>
    <row r="2460" spans="13:18">
      <c r="M2460" s="19"/>
      <c r="N2460" s="19"/>
      <c r="O2460" s="19"/>
      <c r="P2460" s="19"/>
      <c r="Q2460" s="19"/>
      <c r="R2460" s="19"/>
    </row>
    <row r="2461" spans="13:18">
      <c r="M2461" s="19"/>
      <c r="N2461" s="19"/>
      <c r="O2461" s="19"/>
      <c r="P2461" s="19"/>
      <c r="Q2461" s="19"/>
      <c r="R2461" s="19"/>
    </row>
    <row r="2462" spans="13:18">
      <c r="M2462" s="19"/>
      <c r="N2462" s="19"/>
      <c r="O2462" s="19"/>
      <c r="P2462" s="19"/>
      <c r="Q2462" s="19"/>
      <c r="R2462" s="19"/>
    </row>
    <row r="2463" spans="13:18">
      <c r="M2463" s="19"/>
      <c r="N2463" s="19"/>
      <c r="O2463" s="19"/>
      <c r="P2463" s="19"/>
      <c r="Q2463" s="19"/>
      <c r="R2463" s="19"/>
    </row>
    <row r="2464" spans="13:18">
      <c r="M2464" s="19"/>
      <c r="N2464" s="19"/>
      <c r="O2464" s="19"/>
      <c r="P2464" s="19"/>
      <c r="Q2464" s="19"/>
      <c r="R2464" s="19"/>
    </row>
    <row r="2465" spans="13:18">
      <c r="M2465" s="19"/>
      <c r="N2465" s="19"/>
      <c r="O2465" s="19"/>
      <c r="P2465" s="19"/>
      <c r="Q2465" s="19"/>
      <c r="R2465" s="19"/>
    </row>
    <row r="2466" spans="13:18">
      <c r="M2466" s="19"/>
      <c r="N2466" s="19"/>
      <c r="O2466" s="19"/>
      <c r="P2466" s="19"/>
      <c r="Q2466" s="19"/>
      <c r="R2466" s="19"/>
    </row>
    <row r="2467" spans="13:18">
      <c r="M2467" s="19"/>
      <c r="N2467" s="19"/>
      <c r="O2467" s="19"/>
      <c r="P2467" s="19"/>
      <c r="Q2467" s="19"/>
      <c r="R2467" s="19"/>
    </row>
    <row r="2468" spans="13:18">
      <c r="M2468" s="19"/>
      <c r="N2468" s="19"/>
      <c r="O2468" s="19"/>
      <c r="P2468" s="19"/>
      <c r="Q2468" s="19"/>
      <c r="R2468" s="19"/>
    </row>
    <row r="2469" spans="13:18">
      <c r="M2469" s="19"/>
      <c r="N2469" s="19"/>
      <c r="O2469" s="19"/>
      <c r="P2469" s="19"/>
      <c r="Q2469" s="19"/>
      <c r="R2469" s="19"/>
    </row>
    <row r="2470" spans="13:18">
      <c r="M2470" s="19"/>
      <c r="N2470" s="19"/>
      <c r="O2470" s="19"/>
      <c r="P2470" s="19"/>
      <c r="Q2470" s="19"/>
      <c r="R2470" s="19"/>
    </row>
    <row r="2471" spans="13:18">
      <c r="M2471" s="19"/>
      <c r="N2471" s="19"/>
      <c r="O2471" s="19"/>
      <c r="P2471" s="19"/>
      <c r="Q2471" s="19"/>
      <c r="R2471" s="19"/>
    </row>
    <row r="2472" spans="13:18">
      <c r="M2472" s="19"/>
      <c r="N2472" s="19"/>
      <c r="O2472" s="19"/>
      <c r="P2472" s="19"/>
      <c r="Q2472" s="19"/>
      <c r="R2472" s="19"/>
    </row>
    <row r="2473" spans="13:18">
      <c r="M2473" s="19"/>
      <c r="N2473" s="19"/>
      <c r="O2473" s="19"/>
      <c r="P2473" s="19"/>
      <c r="Q2473" s="19"/>
      <c r="R2473" s="19"/>
    </row>
    <row r="2474" spans="13:18">
      <c r="M2474" s="19"/>
      <c r="N2474" s="19"/>
      <c r="O2474" s="19"/>
      <c r="P2474" s="19"/>
      <c r="Q2474" s="19"/>
      <c r="R2474" s="19"/>
    </row>
    <row r="2475" spans="13:18">
      <c r="M2475" s="19"/>
      <c r="N2475" s="19"/>
      <c r="O2475" s="19"/>
      <c r="P2475" s="19"/>
      <c r="Q2475" s="19"/>
      <c r="R2475" s="19"/>
    </row>
    <row r="2476" spans="13:18">
      <c r="M2476" s="19"/>
      <c r="N2476" s="19"/>
      <c r="O2476" s="19"/>
      <c r="P2476" s="19"/>
      <c r="Q2476" s="19"/>
      <c r="R2476" s="19"/>
    </row>
    <row r="2477" spans="13:18">
      <c r="M2477" s="19"/>
      <c r="N2477" s="19"/>
      <c r="O2477" s="19"/>
      <c r="P2477" s="19"/>
      <c r="Q2477" s="19"/>
      <c r="R2477" s="19"/>
    </row>
    <row r="2478" spans="13:18">
      <c r="M2478" s="19"/>
      <c r="N2478" s="19"/>
      <c r="O2478" s="19"/>
      <c r="P2478" s="19"/>
      <c r="Q2478" s="19"/>
      <c r="R2478" s="19"/>
    </row>
    <row r="2479" spans="13:18">
      <c r="M2479" s="19"/>
      <c r="N2479" s="19"/>
      <c r="O2479" s="19"/>
      <c r="P2479" s="19"/>
      <c r="Q2479" s="19"/>
      <c r="R2479" s="19"/>
    </row>
    <row r="2480" spans="13:18">
      <c r="M2480" s="19"/>
      <c r="N2480" s="19"/>
      <c r="O2480" s="19"/>
      <c r="P2480" s="19"/>
      <c r="Q2480" s="19"/>
      <c r="R2480" s="19"/>
    </row>
    <row r="2481" spans="13:18">
      <c r="M2481" s="19"/>
      <c r="N2481" s="19"/>
      <c r="O2481" s="19"/>
      <c r="P2481" s="19"/>
      <c r="Q2481" s="19"/>
      <c r="R2481" s="19"/>
    </row>
    <row r="2482" spans="13:18">
      <c r="M2482" s="19"/>
      <c r="N2482" s="19"/>
      <c r="O2482" s="19"/>
      <c r="P2482" s="19"/>
      <c r="Q2482" s="19"/>
      <c r="R2482" s="19"/>
    </row>
    <row r="2483" spans="13:18">
      <c r="M2483" s="19"/>
      <c r="N2483" s="19"/>
      <c r="O2483" s="19"/>
      <c r="P2483" s="19"/>
      <c r="Q2483" s="19"/>
      <c r="R2483" s="19"/>
    </row>
    <row r="2484" spans="13:18">
      <c r="M2484" s="19"/>
      <c r="N2484" s="19"/>
      <c r="O2484" s="19"/>
      <c r="P2484" s="19"/>
      <c r="Q2484" s="19"/>
      <c r="R2484" s="19"/>
    </row>
    <row r="2485" spans="13:18">
      <c r="M2485" s="19"/>
      <c r="N2485" s="19"/>
      <c r="O2485" s="19"/>
      <c r="P2485" s="19"/>
      <c r="Q2485" s="19"/>
      <c r="R2485" s="19"/>
    </row>
    <row r="2486" spans="13:18">
      <c r="M2486" s="19"/>
      <c r="N2486" s="19"/>
      <c r="O2486" s="19"/>
      <c r="P2486" s="19"/>
      <c r="Q2486" s="19"/>
      <c r="R2486" s="19"/>
    </row>
    <row r="2487" spans="13:18">
      <c r="M2487" s="19"/>
      <c r="N2487" s="19"/>
      <c r="O2487" s="19"/>
      <c r="P2487" s="19"/>
      <c r="Q2487" s="19"/>
      <c r="R2487" s="19"/>
    </row>
    <row r="2488" spans="13:18">
      <c r="M2488" s="19"/>
      <c r="N2488" s="19"/>
      <c r="O2488" s="19"/>
      <c r="P2488" s="19"/>
      <c r="Q2488" s="19"/>
      <c r="R2488" s="19"/>
    </row>
    <row r="2489" spans="13:18">
      <c r="M2489" s="19"/>
      <c r="N2489" s="19"/>
      <c r="O2489" s="19"/>
      <c r="P2489" s="19"/>
      <c r="Q2489" s="19"/>
      <c r="R2489" s="19"/>
    </row>
    <row r="2490" spans="13:18">
      <c r="M2490" s="19"/>
      <c r="N2490" s="19"/>
      <c r="O2490" s="19"/>
      <c r="P2490" s="19"/>
      <c r="Q2490" s="19"/>
      <c r="R2490" s="19"/>
    </row>
    <row r="2491" spans="13:18">
      <c r="M2491" s="19"/>
      <c r="N2491" s="19"/>
      <c r="O2491" s="19"/>
      <c r="P2491" s="19"/>
      <c r="Q2491" s="19"/>
      <c r="R2491" s="19"/>
    </row>
    <row r="2492" spans="13:18">
      <c r="M2492" s="19"/>
      <c r="N2492" s="19"/>
      <c r="O2492" s="19"/>
      <c r="P2492" s="19"/>
      <c r="Q2492" s="19"/>
      <c r="R2492" s="19"/>
    </row>
    <row r="2493" spans="13:18">
      <c r="M2493" s="19"/>
      <c r="N2493" s="19"/>
      <c r="O2493" s="19"/>
      <c r="P2493" s="19"/>
      <c r="Q2493" s="19"/>
      <c r="R2493" s="19"/>
    </row>
    <row r="2494" spans="13:18">
      <c r="M2494" s="19"/>
      <c r="N2494" s="19"/>
      <c r="O2494" s="19"/>
      <c r="P2494" s="19"/>
      <c r="Q2494" s="19"/>
      <c r="R2494" s="19"/>
    </row>
    <row r="2495" spans="13:18">
      <c r="M2495" s="19"/>
      <c r="N2495" s="19"/>
      <c r="O2495" s="19"/>
      <c r="P2495" s="19"/>
      <c r="Q2495" s="19"/>
      <c r="R2495" s="19"/>
    </row>
    <row r="2496" spans="13:18">
      <c r="M2496" s="19"/>
      <c r="N2496" s="19"/>
      <c r="O2496" s="19"/>
      <c r="P2496" s="19"/>
      <c r="Q2496" s="19"/>
      <c r="R2496" s="19"/>
    </row>
    <row r="2497" spans="13:18">
      <c r="M2497" s="19"/>
      <c r="N2497" s="19"/>
      <c r="O2497" s="19"/>
      <c r="P2497" s="19"/>
      <c r="Q2497" s="19"/>
      <c r="R2497" s="19"/>
    </row>
    <row r="2498" spans="13:18">
      <c r="M2498" s="19"/>
      <c r="N2498" s="19"/>
      <c r="O2498" s="19"/>
      <c r="P2498" s="19"/>
      <c r="Q2498" s="19"/>
      <c r="R2498" s="19"/>
    </row>
    <row r="2499" spans="13:18">
      <c r="M2499" s="19"/>
      <c r="N2499" s="19"/>
      <c r="O2499" s="19"/>
      <c r="P2499" s="19"/>
      <c r="Q2499" s="19"/>
      <c r="R2499" s="19"/>
    </row>
    <row r="2500" spans="13:18">
      <c r="M2500" s="19"/>
      <c r="N2500" s="19"/>
      <c r="O2500" s="19"/>
      <c r="P2500" s="19"/>
      <c r="Q2500" s="19"/>
      <c r="R2500" s="19"/>
    </row>
    <row r="2501" spans="13:18">
      <c r="M2501" s="19"/>
      <c r="N2501" s="19"/>
      <c r="O2501" s="19"/>
      <c r="P2501" s="19"/>
      <c r="Q2501" s="19"/>
      <c r="R2501" s="19"/>
    </row>
    <row r="2502" spans="13:18">
      <c r="M2502" s="19"/>
      <c r="N2502" s="19"/>
      <c r="O2502" s="19"/>
      <c r="P2502" s="19"/>
      <c r="Q2502" s="19"/>
      <c r="R2502" s="19"/>
    </row>
    <row r="2503" spans="13:18">
      <c r="M2503" s="19"/>
      <c r="N2503" s="19"/>
      <c r="O2503" s="19"/>
      <c r="P2503" s="19"/>
      <c r="Q2503" s="19"/>
      <c r="R2503" s="19"/>
    </row>
    <row r="2504" spans="13:18">
      <c r="M2504" s="19"/>
      <c r="N2504" s="19"/>
      <c r="O2504" s="19"/>
      <c r="P2504" s="19"/>
      <c r="Q2504" s="19"/>
      <c r="R2504" s="19"/>
    </row>
    <row r="2505" spans="13:18">
      <c r="M2505" s="19"/>
      <c r="N2505" s="19"/>
      <c r="O2505" s="19"/>
      <c r="P2505" s="19"/>
      <c r="Q2505" s="19"/>
      <c r="R2505" s="19"/>
    </row>
    <row r="2506" spans="13:18">
      <c r="M2506" s="19"/>
      <c r="N2506" s="19"/>
      <c r="O2506" s="19"/>
      <c r="P2506" s="19"/>
      <c r="Q2506" s="19"/>
      <c r="R2506" s="19"/>
    </row>
    <row r="2507" spans="13:18">
      <c r="M2507" s="19"/>
      <c r="N2507" s="19"/>
      <c r="O2507" s="19"/>
      <c r="P2507" s="19"/>
      <c r="Q2507" s="19"/>
      <c r="R2507" s="19"/>
    </row>
    <row r="2508" spans="13:18">
      <c r="M2508" s="19"/>
      <c r="N2508" s="19"/>
      <c r="O2508" s="19"/>
      <c r="P2508" s="19"/>
      <c r="Q2508" s="19"/>
      <c r="R2508" s="19"/>
    </row>
    <row r="2509" spans="13:18">
      <c r="M2509" s="19"/>
      <c r="N2509" s="19"/>
      <c r="O2509" s="19"/>
      <c r="P2509" s="19"/>
      <c r="Q2509" s="19"/>
      <c r="R2509" s="19"/>
    </row>
    <row r="2510" spans="13:18">
      <c r="M2510" s="19"/>
      <c r="N2510" s="19"/>
      <c r="O2510" s="19"/>
      <c r="P2510" s="19"/>
      <c r="Q2510" s="19"/>
      <c r="R2510" s="19"/>
    </row>
    <row r="2511" spans="13:18">
      <c r="M2511" s="19"/>
      <c r="N2511" s="19"/>
      <c r="O2511" s="19"/>
      <c r="P2511" s="19"/>
      <c r="Q2511" s="19"/>
      <c r="R2511" s="19"/>
    </row>
    <row r="2512" spans="13:18">
      <c r="M2512" s="19"/>
      <c r="N2512" s="19"/>
      <c r="O2512" s="19"/>
      <c r="P2512" s="19"/>
      <c r="Q2512" s="19"/>
      <c r="R2512" s="19"/>
    </row>
    <row r="2513" spans="13:18">
      <c r="M2513" s="19"/>
      <c r="N2513" s="19"/>
      <c r="O2513" s="19"/>
      <c r="P2513" s="19"/>
      <c r="Q2513" s="19"/>
      <c r="R2513" s="19"/>
    </row>
    <row r="2514" spans="13:18">
      <c r="M2514" s="19"/>
      <c r="N2514" s="19"/>
      <c r="O2514" s="19"/>
      <c r="P2514" s="19"/>
      <c r="Q2514" s="19"/>
      <c r="R2514" s="19"/>
    </row>
    <row r="2515" spans="13:18">
      <c r="M2515" s="19"/>
      <c r="N2515" s="19"/>
      <c r="O2515" s="19"/>
      <c r="P2515" s="19"/>
      <c r="Q2515" s="19"/>
      <c r="R2515" s="19"/>
    </row>
    <row r="2516" spans="13:18">
      <c r="M2516" s="19"/>
      <c r="N2516" s="19"/>
      <c r="O2516" s="19"/>
      <c r="P2516" s="19"/>
      <c r="Q2516" s="19"/>
      <c r="R2516" s="19"/>
    </row>
    <row r="2517" spans="13:18">
      <c r="M2517" s="19"/>
      <c r="N2517" s="19"/>
      <c r="O2517" s="19"/>
      <c r="P2517" s="19"/>
      <c r="Q2517" s="19"/>
      <c r="R2517" s="19"/>
    </row>
    <row r="2518" spans="13:18">
      <c r="M2518" s="19"/>
      <c r="N2518" s="19"/>
      <c r="O2518" s="19"/>
      <c r="P2518" s="19"/>
      <c r="Q2518" s="19"/>
      <c r="R2518" s="19"/>
    </row>
    <row r="2519" spans="13:18">
      <c r="M2519" s="19"/>
      <c r="N2519" s="19"/>
      <c r="O2519" s="19"/>
      <c r="P2519" s="19"/>
      <c r="Q2519" s="19"/>
      <c r="R2519" s="19"/>
    </row>
    <row r="2520" spans="13:18">
      <c r="M2520" s="19"/>
      <c r="N2520" s="19"/>
      <c r="O2520" s="19"/>
      <c r="P2520" s="19"/>
      <c r="Q2520" s="19"/>
      <c r="R2520" s="19"/>
    </row>
    <row r="2521" spans="13:18">
      <c r="M2521" s="19"/>
      <c r="N2521" s="19"/>
      <c r="O2521" s="19"/>
      <c r="P2521" s="19"/>
      <c r="Q2521" s="19"/>
      <c r="R2521" s="19"/>
    </row>
    <row r="2522" spans="13:18">
      <c r="M2522" s="19"/>
      <c r="N2522" s="19"/>
      <c r="O2522" s="19"/>
      <c r="P2522" s="19"/>
      <c r="Q2522" s="19"/>
      <c r="R2522" s="19"/>
    </row>
    <row r="2523" spans="13:18">
      <c r="M2523" s="19"/>
      <c r="N2523" s="19"/>
      <c r="O2523" s="19"/>
      <c r="P2523" s="19"/>
      <c r="Q2523" s="19"/>
      <c r="R2523" s="19"/>
    </row>
    <row r="2524" spans="13:18">
      <c r="M2524" s="19"/>
      <c r="N2524" s="19"/>
      <c r="O2524" s="19"/>
      <c r="P2524" s="19"/>
      <c r="Q2524" s="19"/>
      <c r="R2524" s="19"/>
    </row>
    <row r="2525" spans="13:18">
      <c r="M2525" s="19"/>
      <c r="N2525" s="19"/>
      <c r="O2525" s="19"/>
      <c r="P2525" s="19"/>
      <c r="Q2525" s="19"/>
      <c r="R2525" s="19"/>
    </row>
    <row r="2526" spans="13:18">
      <c r="M2526" s="19"/>
      <c r="N2526" s="19"/>
      <c r="O2526" s="19"/>
      <c r="P2526" s="19"/>
      <c r="Q2526" s="19"/>
      <c r="R2526" s="19"/>
    </row>
    <row r="2527" spans="13:18">
      <c r="M2527" s="19"/>
      <c r="N2527" s="19"/>
      <c r="O2527" s="19"/>
      <c r="P2527" s="19"/>
      <c r="Q2527" s="19"/>
      <c r="R2527" s="19"/>
    </row>
    <row r="2528" spans="13:18">
      <c r="M2528" s="19"/>
      <c r="N2528" s="19"/>
      <c r="O2528" s="19"/>
      <c r="P2528" s="19"/>
      <c r="Q2528" s="19"/>
      <c r="R2528" s="19"/>
    </row>
    <row r="2529" spans="13:18">
      <c r="M2529" s="19"/>
      <c r="N2529" s="19"/>
      <c r="O2529" s="19"/>
      <c r="P2529" s="19"/>
      <c r="Q2529" s="19"/>
      <c r="R2529" s="19"/>
    </row>
    <row r="2530" spans="13:18">
      <c r="M2530" s="19"/>
      <c r="N2530" s="19"/>
      <c r="O2530" s="19"/>
      <c r="P2530" s="19"/>
      <c r="Q2530" s="19"/>
      <c r="R2530" s="19"/>
    </row>
    <row r="2531" spans="13:18">
      <c r="M2531" s="19"/>
      <c r="N2531" s="19"/>
      <c r="O2531" s="19"/>
      <c r="P2531" s="19"/>
      <c r="Q2531" s="19"/>
      <c r="R2531" s="19"/>
    </row>
    <row r="2532" spans="13:18">
      <c r="M2532" s="19"/>
      <c r="N2532" s="19"/>
      <c r="O2532" s="19"/>
      <c r="P2532" s="19"/>
      <c r="Q2532" s="19"/>
      <c r="R2532" s="19"/>
    </row>
    <row r="2533" spans="13:18">
      <c r="M2533" s="19"/>
      <c r="N2533" s="19"/>
      <c r="O2533" s="19"/>
      <c r="P2533" s="19"/>
      <c r="Q2533" s="19"/>
      <c r="R2533" s="19"/>
    </row>
    <row r="2534" spans="13:18">
      <c r="M2534" s="19"/>
      <c r="N2534" s="19"/>
      <c r="O2534" s="19"/>
      <c r="P2534" s="19"/>
      <c r="Q2534" s="19"/>
      <c r="R2534" s="19"/>
    </row>
    <row r="2535" spans="13:18">
      <c r="M2535" s="19"/>
      <c r="N2535" s="19"/>
      <c r="O2535" s="19"/>
      <c r="P2535" s="19"/>
      <c r="Q2535" s="19"/>
      <c r="R2535" s="19"/>
    </row>
    <row r="2536" spans="13:18">
      <c r="M2536" s="19"/>
      <c r="N2536" s="19"/>
      <c r="O2536" s="19"/>
      <c r="P2536" s="19"/>
      <c r="Q2536" s="19"/>
      <c r="R2536" s="19"/>
    </row>
    <row r="2537" spans="13:18">
      <c r="M2537" s="19"/>
      <c r="N2537" s="19"/>
      <c r="O2537" s="19"/>
      <c r="P2537" s="19"/>
      <c r="Q2537" s="19"/>
      <c r="R2537" s="19"/>
    </row>
    <row r="2538" spans="13:18">
      <c r="M2538" s="19"/>
      <c r="N2538" s="19"/>
      <c r="O2538" s="19"/>
      <c r="P2538" s="19"/>
      <c r="Q2538" s="19"/>
      <c r="R2538" s="19"/>
    </row>
    <row r="2539" spans="13:18">
      <c r="M2539" s="19"/>
      <c r="N2539" s="19"/>
      <c r="O2539" s="19"/>
      <c r="P2539" s="19"/>
      <c r="Q2539" s="19"/>
      <c r="R2539" s="19"/>
    </row>
    <row r="2540" spans="13:18">
      <c r="M2540" s="19"/>
      <c r="N2540" s="19"/>
      <c r="O2540" s="19"/>
      <c r="P2540" s="19"/>
      <c r="Q2540" s="19"/>
      <c r="R2540" s="19"/>
    </row>
    <row r="2541" spans="13:18">
      <c r="M2541" s="19"/>
      <c r="N2541" s="19"/>
      <c r="O2541" s="19"/>
      <c r="P2541" s="19"/>
      <c r="Q2541" s="19"/>
      <c r="R2541" s="19"/>
    </row>
    <row r="2542" spans="13:18">
      <c r="M2542" s="19"/>
      <c r="N2542" s="19"/>
      <c r="O2542" s="19"/>
      <c r="P2542" s="19"/>
      <c r="Q2542" s="19"/>
      <c r="R2542" s="19"/>
    </row>
    <row r="2543" spans="13:18">
      <c r="M2543" s="19"/>
      <c r="N2543" s="19"/>
      <c r="O2543" s="19"/>
      <c r="P2543" s="19"/>
      <c r="Q2543" s="19"/>
      <c r="R2543" s="19"/>
    </row>
    <row r="2544" spans="13:18">
      <c r="M2544" s="19"/>
      <c r="N2544" s="19"/>
      <c r="O2544" s="19"/>
      <c r="P2544" s="19"/>
      <c r="Q2544" s="19"/>
      <c r="R2544" s="19"/>
    </row>
    <row r="2545" spans="13:18">
      <c r="M2545" s="19"/>
      <c r="N2545" s="19"/>
      <c r="O2545" s="19"/>
      <c r="P2545" s="19"/>
      <c r="Q2545" s="19"/>
      <c r="R2545" s="19"/>
    </row>
    <row r="2546" spans="13:18">
      <c r="M2546" s="19"/>
      <c r="N2546" s="19"/>
      <c r="O2546" s="19"/>
      <c r="P2546" s="19"/>
      <c r="Q2546" s="19"/>
      <c r="R2546" s="19"/>
    </row>
    <row r="2547" spans="13:18">
      <c r="M2547" s="19"/>
      <c r="N2547" s="19"/>
      <c r="O2547" s="19"/>
      <c r="P2547" s="19"/>
      <c r="Q2547" s="19"/>
      <c r="R2547" s="19"/>
    </row>
    <row r="2548" spans="13:18">
      <c r="M2548" s="19"/>
      <c r="N2548" s="19"/>
      <c r="O2548" s="19"/>
      <c r="P2548" s="19"/>
      <c r="Q2548" s="19"/>
      <c r="R2548" s="19"/>
    </row>
    <row r="2549" spans="13:18">
      <c r="M2549" s="19"/>
      <c r="N2549" s="19"/>
      <c r="O2549" s="19"/>
      <c r="P2549" s="19"/>
      <c r="Q2549" s="19"/>
      <c r="R2549" s="19"/>
    </row>
    <row r="2550" spans="13:18">
      <c r="M2550" s="19"/>
      <c r="N2550" s="19"/>
      <c r="O2550" s="19"/>
      <c r="P2550" s="19"/>
      <c r="Q2550" s="19"/>
      <c r="R2550" s="19"/>
    </row>
    <row r="2551" spans="13:18">
      <c r="M2551" s="19"/>
      <c r="N2551" s="19"/>
      <c r="O2551" s="19"/>
      <c r="P2551" s="19"/>
      <c r="Q2551" s="19"/>
      <c r="R2551" s="19"/>
    </row>
    <row r="2552" spans="13:18">
      <c r="M2552" s="19"/>
      <c r="N2552" s="19"/>
      <c r="O2552" s="19"/>
      <c r="P2552" s="19"/>
      <c r="Q2552" s="19"/>
      <c r="R2552" s="19"/>
    </row>
    <row r="2553" spans="13:18">
      <c r="M2553" s="19"/>
      <c r="N2553" s="19"/>
      <c r="O2553" s="19"/>
      <c r="P2553" s="19"/>
      <c r="Q2553" s="19"/>
      <c r="R2553" s="19"/>
    </row>
    <row r="2554" spans="13:18">
      <c r="M2554" s="19"/>
      <c r="N2554" s="19"/>
      <c r="O2554" s="19"/>
      <c r="P2554" s="19"/>
      <c r="Q2554" s="19"/>
      <c r="R2554" s="19"/>
    </row>
    <row r="2555" spans="13:18">
      <c r="M2555" s="19"/>
      <c r="N2555" s="19"/>
      <c r="O2555" s="19"/>
      <c r="P2555" s="19"/>
      <c r="Q2555" s="19"/>
      <c r="R2555" s="19"/>
    </row>
    <row r="2556" spans="13:18">
      <c r="M2556" s="19"/>
      <c r="N2556" s="19"/>
      <c r="O2556" s="19"/>
      <c r="P2556" s="19"/>
      <c r="Q2556" s="19"/>
      <c r="R2556" s="19"/>
    </row>
    <row r="2557" spans="13:18">
      <c r="M2557" s="19"/>
      <c r="N2557" s="19"/>
      <c r="O2557" s="19"/>
      <c r="P2557" s="19"/>
      <c r="Q2557" s="19"/>
      <c r="R2557" s="19"/>
    </row>
    <row r="2558" spans="13:18">
      <c r="M2558" s="19"/>
      <c r="N2558" s="19"/>
      <c r="O2558" s="19"/>
      <c r="P2558" s="19"/>
      <c r="Q2558" s="19"/>
      <c r="R2558" s="19"/>
    </row>
    <row r="2559" spans="13:18">
      <c r="M2559" s="19"/>
      <c r="N2559" s="19"/>
      <c r="O2559" s="19"/>
      <c r="P2559" s="19"/>
      <c r="Q2559" s="19"/>
      <c r="R2559" s="19"/>
    </row>
    <row r="2560" spans="13:18">
      <c r="M2560" s="19"/>
      <c r="N2560" s="19"/>
      <c r="O2560" s="19"/>
      <c r="P2560" s="19"/>
      <c r="Q2560" s="19"/>
      <c r="R2560" s="19"/>
    </row>
    <row r="2561" spans="13:18">
      <c r="M2561" s="19"/>
      <c r="N2561" s="19"/>
      <c r="O2561" s="19"/>
      <c r="P2561" s="19"/>
      <c r="Q2561" s="19"/>
      <c r="R2561" s="19"/>
    </row>
    <row r="2562" spans="13:18">
      <c r="M2562" s="19"/>
      <c r="N2562" s="19"/>
      <c r="O2562" s="19"/>
      <c r="P2562" s="19"/>
      <c r="Q2562" s="19"/>
      <c r="R2562" s="19"/>
    </row>
    <row r="2563" spans="13:18">
      <c r="M2563" s="19"/>
      <c r="N2563" s="19"/>
      <c r="O2563" s="19"/>
      <c r="P2563" s="19"/>
      <c r="Q2563" s="19"/>
      <c r="R2563" s="19"/>
    </row>
    <row r="2564" spans="13:18">
      <c r="M2564" s="19"/>
      <c r="N2564" s="19"/>
      <c r="O2564" s="19"/>
      <c r="P2564" s="19"/>
      <c r="Q2564" s="19"/>
      <c r="R2564" s="19"/>
    </row>
    <row r="2565" spans="13:18">
      <c r="M2565" s="19"/>
      <c r="N2565" s="19"/>
      <c r="O2565" s="19"/>
      <c r="P2565" s="19"/>
      <c r="Q2565" s="19"/>
      <c r="R2565" s="19"/>
    </row>
    <row r="2566" spans="13:18">
      <c r="M2566" s="19"/>
      <c r="N2566" s="19"/>
      <c r="O2566" s="19"/>
      <c r="P2566" s="19"/>
      <c r="Q2566" s="19"/>
      <c r="R2566" s="19"/>
    </row>
    <row r="2567" spans="13:18">
      <c r="M2567" s="19"/>
      <c r="N2567" s="19"/>
      <c r="O2567" s="19"/>
      <c r="P2567" s="19"/>
      <c r="Q2567" s="19"/>
      <c r="R2567" s="19"/>
    </row>
    <row r="2568" spans="13:18">
      <c r="M2568" s="19"/>
      <c r="N2568" s="19"/>
      <c r="O2568" s="19"/>
      <c r="P2568" s="19"/>
      <c r="Q2568" s="19"/>
      <c r="R2568" s="19"/>
    </row>
    <row r="2569" spans="13:18">
      <c r="M2569" s="19"/>
      <c r="N2569" s="19"/>
      <c r="O2569" s="19"/>
      <c r="P2569" s="19"/>
      <c r="Q2569" s="19"/>
      <c r="R2569" s="19"/>
    </row>
    <row r="2570" spans="13:18">
      <c r="M2570" s="19"/>
      <c r="N2570" s="19"/>
      <c r="O2570" s="19"/>
      <c r="P2570" s="19"/>
      <c r="Q2570" s="19"/>
      <c r="R2570" s="19"/>
    </row>
    <row r="2571" spans="13:18">
      <c r="M2571" s="19"/>
      <c r="N2571" s="19"/>
      <c r="O2571" s="19"/>
      <c r="P2571" s="19"/>
      <c r="Q2571" s="19"/>
      <c r="R2571" s="19"/>
    </row>
    <row r="2572" spans="13:18">
      <c r="M2572" s="19"/>
      <c r="N2572" s="19"/>
      <c r="O2572" s="19"/>
      <c r="P2572" s="19"/>
      <c r="Q2572" s="19"/>
      <c r="R2572" s="19"/>
    </row>
    <row r="2573" spans="13:18">
      <c r="M2573" s="19"/>
      <c r="N2573" s="19"/>
      <c r="O2573" s="19"/>
      <c r="P2573" s="19"/>
      <c r="Q2573" s="19"/>
      <c r="R2573" s="19"/>
    </row>
    <row r="2574" spans="13:18">
      <c r="M2574" s="19"/>
      <c r="N2574" s="19"/>
      <c r="O2574" s="19"/>
      <c r="P2574" s="19"/>
      <c r="Q2574" s="19"/>
      <c r="R2574" s="19"/>
    </row>
    <row r="2575" spans="13:18">
      <c r="M2575" s="19"/>
      <c r="N2575" s="19"/>
      <c r="O2575" s="19"/>
      <c r="P2575" s="19"/>
      <c r="Q2575" s="19"/>
      <c r="R2575" s="19"/>
    </row>
    <row r="2576" spans="13:18">
      <c r="M2576" s="19"/>
      <c r="N2576" s="19"/>
      <c r="O2576" s="19"/>
      <c r="P2576" s="19"/>
      <c r="Q2576" s="19"/>
      <c r="R2576" s="19"/>
    </row>
    <row r="2577" spans="13:18">
      <c r="M2577" s="19"/>
      <c r="N2577" s="19"/>
      <c r="O2577" s="19"/>
      <c r="P2577" s="19"/>
      <c r="Q2577" s="19"/>
      <c r="R2577" s="19"/>
    </row>
    <row r="2578" spans="13:18">
      <c r="M2578" s="19"/>
      <c r="N2578" s="19"/>
      <c r="O2578" s="19"/>
      <c r="P2578" s="19"/>
      <c r="Q2578" s="19"/>
      <c r="R2578" s="19"/>
    </row>
    <row r="2579" spans="13:18">
      <c r="M2579" s="19"/>
      <c r="N2579" s="19"/>
      <c r="O2579" s="19"/>
      <c r="P2579" s="19"/>
      <c r="Q2579" s="19"/>
      <c r="R2579" s="19"/>
    </row>
    <row r="2580" spans="13:18">
      <c r="M2580" s="19"/>
      <c r="N2580" s="19"/>
      <c r="O2580" s="19"/>
      <c r="P2580" s="19"/>
      <c r="Q2580" s="19"/>
      <c r="R2580" s="19"/>
    </row>
    <row r="2581" spans="13:18">
      <c r="M2581" s="19"/>
      <c r="N2581" s="19"/>
      <c r="O2581" s="19"/>
      <c r="P2581" s="19"/>
      <c r="Q2581" s="19"/>
      <c r="R2581" s="19"/>
    </row>
    <row r="2582" spans="13:18">
      <c r="M2582" s="19"/>
      <c r="N2582" s="19"/>
      <c r="O2582" s="19"/>
      <c r="P2582" s="19"/>
      <c r="Q2582" s="19"/>
      <c r="R2582" s="19"/>
    </row>
    <row r="2583" spans="13:18">
      <c r="M2583" s="19"/>
      <c r="N2583" s="19"/>
      <c r="O2583" s="19"/>
      <c r="P2583" s="19"/>
      <c r="Q2583" s="19"/>
      <c r="R2583" s="19"/>
    </row>
    <row r="2584" spans="13:18">
      <c r="M2584" s="19"/>
      <c r="N2584" s="19"/>
      <c r="O2584" s="19"/>
      <c r="P2584" s="19"/>
      <c r="Q2584" s="19"/>
      <c r="R2584" s="19"/>
    </row>
    <row r="2585" spans="13:18">
      <c r="M2585" s="19"/>
      <c r="N2585" s="19"/>
      <c r="O2585" s="19"/>
      <c r="P2585" s="19"/>
      <c r="Q2585" s="19"/>
      <c r="R2585" s="19"/>
    </row>
    <row r="2586" spans="13:18">
      <c r="M2586" s="19"/>
      <c r="N2586" s="19"/>
      <c r="O2586" s="19"/>
      <c r="P2586" s="19"/>
      <c r="Q2586" s="19"/>
      <c r="R2586" s="19"/>
    </row>
    <row r="2587" spans="13:18">
      <c r="M2587" s="19"/>
      <c r="N2587" s="19"/>
      <c r="O2587" s="19"/>
      <c r="P2587" s="19"/>
      <c r="Q2587" s="19"/>
      <c r="R2587" s="19"/>
    </row>
    <row r="2588" spans="13:18">
      <c r="M2588" s="19"/>
      <c r="N2588" s="19"/>
      <c r="O2588" s="19"/>
      <c r="P2588" s="19"/>
      <c r="Q2588" s="19"/>
      <c r="R2588" s="19"/>
    </row>
    <row r="2589" spans="13:18">
      <c r="M2589" s="19"/>
      <c r="N2589" s="19"/>
      <c r="O2589" s="19"/>
      <c r="P2589" s="19"/>
      <c r="Q2589" s="19"/>
      <c r="R2589" s="19"/>
    </row>
    <row r="2590" spans="13:18">
      <c r="M2590" s="19"/>
      <c r="N2590" s="19"/>
      <c r="O2590" s="19"/>
      <c r="P2590" s="19"/>
      <c r="Q2590" s="19"/>
      <c r="R2590" s="19"/>
    </row>
    <row r="2591" spans="13:18">
      <c r="M2591" s="19"/>
      <c r="N2591" s="19"/>
      <c r="O2591" s="19"/>
      <c r="P2591" s="19"/>
      <c r="Q2591" s="19"/>
      <c r="R2591" s="19"/>
    </row>
    <row r="2592" spans="13:18">
      <c r="M2592" s="19"/>
      <c r="N2592" s="19"/>
      <c r="O2592" s="19"/>
      <c r="P2592" s="19"/>
      <c r="Q2592" s="19"/>
      <c r="R2592" s="19"/>
    </row>
    <row r="2593" spans="13:18">
      <c r="M2593" s="19"/>
      <c r="N2593" s="19"/>
      <c r="O2593" s="19"/>
      <c r="P2593" s="19"/>
      <c r="Q2593" s="19"/>
      <c r="R2593" s="19"/>
    </row>
    <row r="2594" spans="13:18">
      <c r="M2594" s="19"/>
      <c r="N2594" s="19"/>
      <c r="O2594" s="19"/>
      <c r="P2594" s="19"/>
      <c r="Q2594" s="19"/>
      <c r="R2594" s="19"/>
    </row>
    <row r="2595" spans="13:18">
      <c r="M2595" s="19"/>
      <c r="N2595" s="19"/>
      <c r="O2595" s="19"/>
      <c r="P2595" s="19"/>
      <c r="Q2595" s="19"/>
      <c r="R2595" s="19"/>
    </row>
    <row r="2596" spans="13:18">
      <c r="M2596" s="19"/>
      <c r="N2596" s="19"/>
      <c r="O2596" s="19"/>
      <c r="P2596" s="19"/>
      <c r="Q2596" s="19"/>
      <c r="R2596" s="19"/>
    </row>
    <row r="2597" spans="13:18">
      <c r="M2597" s="19"/>
      <c r="N2597" s="19"/>
      <c r="O2597" s="19"/>
      <c r="P2597" s="19"/>
      <c r="Q2597" s="19"/>
      <c r="R2597" s="19"/>
    </row>
    <row r="2598" spans="13:18">
      <c r="M2598" s="19"/>
      <c r="N2598" s="19"/>
      <c r="O2598" s="19"/>
      <c r="P2598" s="19"/>
      <c r="Q2598" s="19"/>
      <c r="R2598" s="19"/>
    </row>
    <row r="2599" spans="13:18">
      <c r="M2599" s="19"/>
      <c r="N2599" s="19"/>
      <c r="O2599" s="19"/>
      <c r="P2599" s="19"/>
      <c r="Q2599" s="19"/>
      <c r="R2599" s="19"/>
    </row>
    <row r="2600" spans="13:18">
      <c r="M2600" s="19"/>
      <c r="N2600" s="19"/>
      <c r="O2600" s="19"/>
      <c r="P2600" s="19"/>
      <c r="Q2600" s="19"/>
      <c r="R2600" s="19"/>
    </row>
    <row r="2601" spans="13:18">
      <c r="M2601" s="19"/>
      <c r="N2601" s="19"/>
      <c r="O2601" s="19"/>
      <c r="P2601" s="19"/>
      <c r="Q2601" s="19"/>
      <c r="R2601" s="19"/>
    </row>
    <row r="2602" spans="13:18">
      <c r="M2602" s="19"/>
      <c r="N2602" s="19"/>
      <c r="O2602" s="19"/>
      <c r="P2602" s="19"/>
      <c r="Q2602" s="19"/>
      <c r="R2602" s="19"/>
    </row>
    <row r="2603" spans="13:18">
      <c r="M2603" s="19"/>
      <c r="N2603" s="19"/>
      <c r="O2603" s="19"/>
      <c r="P2603" s="19"/>
      <c r="Q2603" s="19"/>
      <c r="R2603" s="19"/>
    </row>
    <row r="2604" spans="13:18">
      <c r="M2604" s="19"/>
      <c r="N2604" s="19"/>
      <c r="O2604" s="19"/>
      <c r="P2604" s="19"/>
      <c r="Q2604" s="19"/>
      <c r="R2604" s="19"/>
    </row>
    <row r="2605" spans="13:18">
      <c r="M2605" s="19"/>
      <c r="N2605" s="19"/>
      <c r="O2605" s="19"/>
      <c r="P2605" s="19"/>
      <c r="Q2605" s="19"/>
      <c r="R2605" s="19"/>
    </row>
    <row r="2606" spans="13:18">
      <c r="M2606" s="19"/>
      <c r="N2606" s="19"/>
      <c r="O2606" s="19"/>
      <c r="P2606" s="19"/>
      <c r="Q2606" s="19"/>
      <c r="R2606" s="19"/>
    </row>
    <row r="2607" spans="13:18">
      <c r="M2607" s="19"/>
      <c r="N2607" s="19"/>
      <c r="O2607" s="19"/>
      <c r="P2607" s="19"/>
      <c r="Q2607" s="19"/>
      <c r="R2607" s="19"/>
    </row>
    <row r="2608" spans="13:18">
      <c r="M2608" s="19"/>
      <c r="N2608" s="19"/>
      <c r="O2608" s="19"/>
      <c r="P2608" s="19"/>
      <c r="Q2608" s="19"/>
      <c r="R2608" s="19"/>
    </row>
    <row r="2609" spans="13:18">
      <c r="M2609" s="19"/>
      <c r="N2609" s="19"/>
      <c r="O2609" s="19"/>
      <c r="P2609" s="19"/>
      <c r="Q2609" s="19"/>
      <c r="R2609" s="19"/>
    </row>
    <row r="2610" spans="13:18">
      <c r="M2610" s="19"/>
      <c r="N2610" s="19"/>
      <c r="O2610" s="19"/>
      <c r="P2610" s="19"/>
      <c r="Q2610" s="19"/>
      <c r="R2610" s="19"/>
    </row>
    <row r="2611" spans="13:18">
      <c r="M2611" s="19"/>
      <c r="N2611" s="19"/>
      <c r="O2611" s="19"/>
      <c r="P2611" s="19"/>
      <c r="Q2611" s="19"/>
      <c r="R2611" s="19"/>
    </row>
    <row r="2612" spans="13:18">
      <c r="M2612" s="19"/>
      <c r="N2612" s="19"/>
      <c r="O2612" s="19"/>
      <c r="P2612" s="19"/>
      <c r="Q2612" s="19"/>
      <c r="R2612" s="19"/>
    </row>
    <row r="2613" spans="13:18">
      <c r="M2613" s="19"/>
      <c r="N2613" s="19"/>
      <c r="O2613" s="19"/>
      <c r="P2613" s="19"/>
      <c r="Q2613" s="19"/>
      <c r="R2613" s="19"/>
    </row>
    <row r="2614" spans="13:18">
      <c r="M2614" s="19"/>
      <c r="N2614" s="19"/>
      <c r="O2614" s="19"/>
      <c r="P2614" s="19"/>
      <c r="Q2614" s="19"/>
      <c r="R2614" s="19"/>
    </row>
    <row r="2615" spans="13:18">
      <c r="M2615" s="19"/>
      <c r="N2615" s="19"/>
      <c r="O2615" s="19"/>
      <c r="P2615" s="19"/>
      <c r="Q2615" s="19"/>
      <c r="R2615" s="19"/>
    </row>
    <row r="2616" spans="13:18">
      <c r="M2616" s="19"/>
      <c r="N2616" s="19"/>
      <c r="O2616" s="19"/>
      <c r="P2616" s="19"/>
      <c r="Q2616" s="19"/>
      <c r="R2616" s="19"/>
    </row>
    <row r="2617" spans="13:18">
      <c r="M2617" s="19"/>
      <c r="N2617" s="19"/>
      <c r="O2617" s="19"/>
      <c r="P2617" s="19"/>
      <c r="Q2617" s="19"/>
      <c r="R2617" s="19"/>
    </row>
    <row r="2618" spans="13:18">
      <c r="M2618" s="19"/>
      <c r="N2618" s="19"/>
      <c r="O2618" s="19"/>
      <c r="P2618" s="19"/>
      <c r="Q2618" s="19"/>
      <c r="R2618" s="19"/>
    </row>
    <row r="2619" spans="13:18">
      <c r="M2619" s="19"/>
      <c r="N2619" s="19"/>
      <c r="O2619" s="19"/>
      <c r="P2619" s="19"/>
      <c r="Q2619" s="19"/>
      <c r="R2619" s="19"/>
    </row>
    <row r="2620" spans="13:18">
      <c r="M2620" s="19"/>
      <c r="N2620" s="19"/>
      <c r="O2620" s="19"/>
      <c r="P2620" s="19"/>
      <c r="Q2620" s="19"/>
      <c r="R2620" s="19"/>
    </row>
    <row r="2621" spans="13:18">
      <c r="M2621" s="19"/>
      <c r="N2621" s="19"/>
      <c r="O2621" s="19"/>
      <c r="P2621" s="19"/>
      <c r="Q2621" s="19"/>
      <c r="R2621" s="19"/>
    </row>
    <row r="2622" spans="13:18">
      <c r="M2622" s="19"/>
      <c r="N2622" s="19"/>
      <c r="O2622" s="19"/>
      <c r="P2622" s="19"/>
      <c r="Q2622" s="19"/>
      <c r="R2622" s="19"/>
    </row>
    <row r="2623" spans="13:18">
      <c r="M2623" s="19"/>
      <c r="N2623" s="19"/>
      <c r="O2623" s="19"/>
      <c r="P2623" s="19"/>
      <c r="Q2623" s="19"/>
      <c r="R2623" s="19"/>
    </row>
    <row r="2624" spans="13:18">
      <c r="M2624" s="19"/>
      <c r="N2624" s="19"/>
      <c r="O2624" s="19"/>
      <c r="P2624" s="19"/>
      <c r="Q2624" s="19"/>
      <c r="R2624" s="19"/>
    </row>
    <row r="2625" spans="13:18">
      <c r="M2625" s="19"/>
      <c r="N2625" s="19"/>
      <c r="O2625" s="19"/>
      <c r="P2625" s="19"/>
      <c r="Q2625" s="19"/>
      <c r="R2625" s="19"/>
    </row>
    <row r="2626" spans="13:18">
      <c r="M2626" s="19"/>
      <c r="N2626" s="19"/>
      <c r="O2626" s="19"/>
      <c r="P2626" s="19"/>
      <c r="Q2626" s="19"/>
      <c r="R2626" s="19"/>
    </row>
    <row r="2627" spans="13:18">
      <c r="M2627" s="19"/>
      <c r="N2627" s="19"/>
      <c r="O2627" s="19"/>
      <c r="P2627" s="19"/>
      <c r="Q2627" s="19"/>
      <c r="R2627" s="19"/>
    </row>
    <row r="2628" spans="13:18">
      <c r="M2628" s="19"/>
      <c r="N2628" s="19"/>
      <c r="O2628" s="19"/>
      <c r="P2628" s="19"/>
      <c r="Q2628" s="19"/>
      <c r="R2628" s="19"/>
    </row>
    <row r="2629" spans="13:18">
      <c r="M2629" s="19"/>
      <c r="N2629" s="19"/>
      <c r="O2629" s="19"/>
      <c r="P2629" s="19"/>
      <c r="Q2629" s="19"/>
      <c r="R2629" s="19"/>
    </row>
    <row r="2630" spans="13:18">
      <c r="M2630" s="19"/>
      <c r="N2630" s="19"/>
      <c r="O2630" s="19"/>
      <c r="P2630" s="19"/>
      <c r="Q2630" s="19"/>
      <c r="R2630" s="19"/>
    </row>
    <row r="2631" spans="13:18">
      <c r="M2631" s="19"/>
      <c r="N2631" s="19"/>
      <c r="O2631" s="19"/>
      <c r="P2631" s="19"/>
      <c r="Q2631" s="19"/>
      <c r="R2631" s="19"/>
    </row>
    <row r="2632" spans="13:18">
      <c r="M2632" s="19"/>
      <c r="N2632" s="19"/>
      <c r="O2632" s="19"/>
      <c r="P2632" s="19"/>
      <c r="Q2632" s="19"/>
      <c r="R2632" s="19"/>
    </row>
    <row r="2633" spans="13:18">
      <c r="M2633" s="19"/>
      <c r="N2633" s="19"/>
      <c r="O2633" s="19"/>
      <c r="P2633" s="19"/>
      <c r="Q2633" s="19"/>
      <c r="R2633" s="19"/>
    </row>
    <row r="2634" spans="13:18">
      <c r="M2634" s="19"/>
      <c r="N2634" s="19"/>
      <c r="O2634" s="19"/>
      <c r="P2634" s="19"/>
      <c r="Q2634" s="19"/>
      <c r="R2634" s="19"/>
    </row>
    <row r="2635" spans="13:18">
      <c r="M2635" s="19"/>
      <c r="N2635" s="19"/>
      <c r="O2635" s="19"/>
      <c r="P2635" s="19"/>
      <c r="Q2635" s="19"/>
      <c r="R2635" s="19"/>
    </row>
    <row r="2636" spans="13:18">
      <c r="M2636" s="19"/>
      <c r="N2636" s="19"/>
      <c r="O2636" s="19"/>
      <c r="P2636" s="19"/>
      <c r="Q2636" s="19"/>
      <c r="R2636" s="19"/>
    </row>
    <row r="2637" spans="13:18">
      <c r="M2637" s="19"/>
      <c r="N2637" s="19"/>
      <c r="O2637" s="19"/>
      <c r="P2637" s="19"/>
      <c r="Q2637" s="19"/>
      <c r="R2637" s="19"/>
    </row>
    <row r="2638" spans="13:18">
      <c r="M2638" s="19"/>
      <c r="N2638" s="19"/>
      <c r="O2638" s="19"/>
      <c r="P2638" s="19"/>
      <c r="Q2638" s="19"/>
      <c r="R2638" s="19"/>
    </row>
    <row r="2639" spans="13:18">
      <c r="M2639" s="19"/>
      <c r="N2639" s="19"/>
      <c r="O2639" s="19"/>
      <c r="P2639" s="19"/>
      <c r="Q2639" s="19"/>
      <c r="R2639" s="19"/>
    </row>
    <row r="2640" spans="13:18">
      <c r="M2640" s="19"/>
      <c r="N2640" s="19"/>
      <c r="O2640" s="19"/>
      <c r="P2640" s="19"/>
      <c r="Q2640" s="19"/>
      <c r="R2640" s="19"/>
    </row>
    <row r="2641" spans="13:18">
      <c r="M2641" s="19"/>
      <c r="N2641" s="19"/>
      <c r="O2641" s="19"/>
      <c r="P2641" s="19"/>
      <c r="Q2641" s="19"/>
      <c r="R2641" s="19"/>
    </row>
    <row r="2642" spans="13:18">
      <c r="M2642" s="19"/>
      <c r="N2642" s="19"/>
      <c r="O2642" s="19"/>
      <c r="P2642" s="19"/>
      <c r="Q2642" s="19"/>
      <c r="R2642" s="19"/>
    </row>
    <row r="2643" spans="13:18">
      <c r="M2643" s="19"/>
      <c r="N2643" s="19"/>
      <c r="O2643" s="19"/>
      <c r="P2643" s="19"/>
      <c r="Q2643" s="19"/>
      <c r="R2643" s="19"/>
    </row>
    <row r="2644" spans="13:18">
      <c r="M2644" s="19"/>
      <c r="N2644" s="19"/>
      <c r="O2644" s="19"/>
      <c r="P2644" s="19"/>
      <c r="Q2644" s="19"/>
      <c r="R2644" s="19"/>
    </row>
    <row r="2645" spans="13:18">
      <c r="M2645" s="19"/>
      <c r="N2645" s="19"/>
      <c r="O2645" s="19"/>
      <c r="P2645" s="19"/>
      <c r="Q2645" s="19"/>
      <c r="R2645" s="19"/>
    </row>
    <row r="2646" spans="13:18">
      <c r="M2646" s="19"/>
      <c r="N2646" s="19"/>
      <c r="O2646" s="19"/>
      <c r="P2646" s="19"/>
      <c r="Q2646" s="19"/>
      <c r="R2646" s="19"/>
    </row>
    <row r="2647" spans="13:18">
      <c r="M2647" s="19"/>
      <c r="N2647" s="19"/>
      <c r="O2647" s="19"/>
      <c r="P2647" s="19"/>
      <c r="Q2647" s="19"/>
      <c r="R2647" s="19"/>
    </row>
    <row r="2648" spans="13:18">
      <c r="M2648" s="19"/>
      <c r="N2648" s="19"/>
      <c r="O2648" s="19"/>
      <c r="P2648" s="19"/>
      <c r="Q2648" s="19"/>
      <c r="R2648" s="19"/>
    </row>
    <row r="2649" spans="13:18">
      <c r="M2649" s="19"/>
      <c r="N2649" s="19"/>
      <c r="O2649" s="19"/>
      <c r="P2649" s="19"/>
      <c r="Q2649" s="19"/>
      <c r="R2649" s="19"/>
    </row>
    <row r="2650" spans="13:18">
      <c r="M2650" s="19"/>
      <c r="N2650" s="19"/>
      <c r="O2650" s="19"/>
      <c r="P2650" s="19"/>
      <c r="Q2650" s="19"/>
      <c r="R2650" s="19"/>
    </row>
    <row r="2651" spans="13:18">
      <c r="M2651" s="19"/>
      <c r="N2651" s="19"/>
      <c r="O2651" s="19"/>
      <c r="P2651" s="19"/>
      <c r="Q2651" s="19"/>
      <c r="R2651" s="19"/>
    </row>
    <row r="2652" spans="13:18">
      <c r="M2652" s="19"/>
      <c r="N2652" s="19"/>
      <c r="O2652" s="19"/>
      <c r="P2652" s="19"/>
      <c r="Q2652" s="19"/>
      <c r="R2652" s="19"/>
    </row>
    <row r="2653" spans="13:18">
      <c r="M2653" s="19"/>
      <c r="N2653" s="19"/>
      <c r="O2653" s="19"/>
      <c r="P2653" s="19"/>
      <c r="Q2653" s="19"/>
      <c r="R2653" s="19"/>
    </row>
    <row r="2654" spans="13:18">
      <c r="M2654" s="19"/>
      <c r="N2654" s="19"/>
      <c r="O2654" s="19"/>
      <c r="P2654" s="19"/>
      <c r="Q2654" s="19"/>
      <c r="R2654" s="19"/>
    </row>
    <row r="2655" spans="13:18">
      <c r="M2655" s="19"/>
      <c r="N2655" s="19"/>
      <c r="O2655" s="19"/>
      <c r="P2655" s="19"/>
      <c r="Q2655" s="19"/>
      <c r="R2655" s="19"/>
    </row>
    <row r="2656" spans="13:18">
      <c r="M2656" s="19"/>
      <c r="N2656" s="19"/>
      <c r="O2656" s="19"/>
      <c r="P2656" s="19"/>
      <c r="Q2656" s="19"/>
      <c r="R2656" s="19"/>
    </row>
    <row r="2657" spans="13:18">
      <c r="M2657" s="19"/>
      <c r="N2657" s="19"/>
      <c r="O2657" s="19"/>
      <c r="P2657" s="19"/>
      <c r="Q2657" s="19"/>
      <c r="R2657" s="19"/>
    </row>
    <row r="2658" spans="13:18">
      <c r="M2658" s="19"/>
      <c r="N2658" s="19"/>
      <c r="O2658" s="19"/>
      <c r="P2658" s="19"/>
      <c r="Q2658" s="19"/>
      <c r="R2658" s="19"/>
    </row>
    <row r="2659" spans="13:18">
      <c r="M2659" s="19"/>
      <c r="N2659" s="19"/>
      <c r="O2659" s="19"/>
      <c r="P2659" s="19"/>
      <c r="Q2659" s="19"/>
      <c r="R2659" s="19"/>
    </row>
    <row r="2660" spans="13:18">
      <c r="M2660" s="19"/>
      <c r="N2660" s="19"/>
      <c r="O2660" s="19"/>
      <c r="P2660" s="19"/>
      <c r="Q2660" s="19"/>
      <c r="R2660" s="19"/>
    </row>
    <row r="2661" spans="13:18">
      <c r="M2661" s="19"/>
      <c r="N2661" s="19"/>
      <c r="O2661" s="19"/>
      <c r="P2661" s="19"/>
      <c r="Q2661" s="19"/>
      <c r="R2661" s="19"/>
    </row>
    <row r="2662" spans="13:18">
      <c r="M2662" s="19"/>
      <c r="N2662" s="19"/>
      <c r="O2662" s="19"/>
      <c r="P2662" s="19"/>
      <c r="Q2662" s="19"/>
      <c r="R2662" s="19"/>
    </row>
    <row r="2663" spans="13:18">
      <c r="M2663" s="19"/>
      <c r="N2663" s="19"/>
      <c r="O2663" s="19"/>
      <c r="P2663" s="19"/>
      <c r="Q2663" s="19"/>
      <c r="R2663" s="19"/>
    </row>
    <row r="2664" spans="13:18">
      <c r="M2664" s="19"/>
      <c r="N2664" s="19"/>
      <c r="O2664" s="19"/>
      <c r="P2664" s="19"/>
      <c r="Q2664" s="19"/>
      <c r="R2664" s="19"/>
    </row>
    <row r="2665" spans="13:18">
      <c r="M2665" s="19"/>
      <c r="N2665" s="19"/>
      <c r="O2665" s="19"/>
      <c r="P2665" s="19"/>
      <c r="Q2665" s="19"/>
      <c r="R2665" s="19"/>
    </row>
    <row r="2666" spans="13:18">
      <c r="M2666" s="19"/>
      <c r="N2666" s="19"/>
      <c r="O2666" s="19"/>
      <c r="P2666" s="19"/>
      <c r="Q2666" s="19"/>
      <c r="R2666" s="19"/>
    </row>
    <row r="2667" spans="13:18">
      <c r="M2667" s="19"/>
      <c r="N2667" s="19"/>
      <c r="O2667" s="19"/>
      <c r="P2667" s="19"/>
      <c r="Q2667" s="19"/>
      <c r="R2667" s="19"/>
    </row>
    <row r="2668" spans="13:18">
      <c r="M2668" s="19"/>
      <c r="N2668" s="19"/>
      <c r="O2668" s="19"/>
      <c r="P2668" s="19"/>
      <c r="Q2668" s="19"/>
      <c r="R2668" s="19"/>
    </row>
    <row r="2669" spans="13:18">
      <c r="M2669" s="19"/>
      <c r="N2669" s="19"/>
      <c r="O2669" s="19"/>
      <c r="P2669" s="19"/>
      <c r="Q2669" s="19"/>
      <c r="R2669" s="19"/>
    </row>
    <row r="2670" spans="13:18">
      <c r="M2670" s="19"/>
      <c r="N2670" s="19"/>
      <c r="O2670" s="19"/>
      <c r="P2670" s="19"/>
      <c r="Q2670" s="19"/>
      <c r="R2670" s="19"/>
    </row>
    <row r="2671" spans="13:18">
      <c r="M2671" s="19"/>
      <c r="N2671" s="19"/>
      <c r="O2671" s="19"/>
      <c r="P2671" s="19"/>
      <c r="Q2671" s="19"/>
      <c r="R2671" s="19"/>
    </row>
    <row r="2672" spans="13:18">
      <c r="M2672" s="19"/>
      <c r="N2672" s="19"/>
      <c r="O2672" s="19"/>
      <c r="P2672" s="19"/>
      <c r="Q2672" s="19"/>
      <c r="R2672" s="19"/>
    </row>
    <row r="2673" spans="13:18">
      <c r="M2673" s="19"/>
      <c r="N2673" s="19"/>
      <c r="O2673" s="19"/>
      <c r="P2673" s="19"/>
      <c r="Q2673" s="19"/>
      <c r="R2673" s="19"/>
    </row>
    <row r="2674" spans="13:18">
      <c r="M2674" s="19"/>
      <c r="N2674" s="19"/>
      <c r="O2674" s="19"/>
      <c r="P2674" s="19"/>
      <c r="Q2674" s="19"/>
      <c r="R2674" s="19"/>
    </row>
    <row r="2675" spans="13:18">
      <c r="M2675" s="19"/>
      <c r="N2675" s="19"/>
      <c r="O2675" s="19"/>
      <c r="P2675" s="19"/>
      <c r="Q2675" s="19"/>
      <c r="R2675" s="19"/>
    </row>
    <row r="2676" spans="13:18">
      <c r="M2676" s="19"/>
      <c r="N2676" s="19"/>
      <c r="O2676" s="19"/>
      <c r="P2676" s="19"/>
      <c r="Q2676" s="19"/>
      <c r="R2676" s="19"/>
    </row>
    <row r="2677" spans="13:18">
      <c r="M2677" s="19"/>
      <c r="N2677" s="19"/>
      <c r="O2677" s="19"/>
      <c r="P2677" s="19"/>
      <c r="Q2677" s="19"/>
      <c r="R2677" s="19"/>
    </row>
    <row r="2678" spans="13:18">
      <c r="M2678" s="19"/>
      <c r="N2678" s="19"/>
      <c r="O2678" s="19"/>
      <c r="P2678" s="19"/>
      <c r="Q2678" s="19"/>
      <c r="R2678" s="19"/>
    </row>
    <row r="2679" spans="13:18">
      <c r="M2679" s="19"/>
      <c r="N2679" s="19"/>
      <c r="O2679" s="19"/>
      <c r="P2679" s="19"/>
      <c r="Q2679" s="19"/>
      <c r="R2679" s="19"/>
    </row>
    <row r="2680" spans="13:18">
      <c r="M2680" s="19"/>
      <c r="N2680" s="19"/>
      <c r="O2680" s="19"/>
      <c r="P2680" s="19"/>
      <c r="Q2680" s="19"/>
      <c r="R2680" s="19"/>
    </row>
    <row r="2681" spans="13:18">
      <c r="M2681" s="19"/>
      <c r="N2681" s="19"/>
      <c r="O2681" s="19"/>
      <c r="P2681" s="19"/>
      <c r="Q2681" s="19"/>
      <c r="R2681" s="19"/>
    </row>
    <row r="2682" spans="13:18">
      <c r="M2682" s="19"/>
      <c r="N2682" s="19"/>
      <c r="O2682" s="19"/>
      <c r="P2682" s="19"/>
      <c r="Q2682" s="19"/>
      <c r="R2682" s="19"/>
    </row>
    <row r="2683" spans="13:18">
      <c r="M2683" s="19"/>
      <c r="N2683" s="19"/>
      <c r="O2683" s="19"/>
      <c r="P2683" s="19"/>
      <c r="Q2683" s="19"/>
      <c r="R2683" s="19"/>
    </row>
    <row r="2684" spans="13:18">
      <c r="M2684" s="19"/>
      <c r="N2684" s="19"/>
      <c r="O2684" s="19"/>
      <c r="P2684" s="19"/>
      <c r="Q2684" s="19"/>
      <c r="R2684" s="19"/>
    </row>
    <row r="2685" spans="13:18">
      <c r="M2685" s="19"/>
      <c r="N2685" s="19"/>
      <c r="O2685" s="19"/>
      <c r="P2685" s="19"/>
      <c r="Q2685" s="19"/>
      <c r="R2685" s="19"/>
    </row>
    <row r="2686" spans="13:18">
      <c r="M2686" s="19"/>
      <c r="N2686" s="19"/>
      <c r="O2686" s="19"/>
      <c r="P2686" s="19"/>
      <c r="Q2686" s="19"/>
      <c r="R2686" s="19"/>
    </row>
    <row r="2687" spans="13:18">
      <c r="M2687" s="19"/>
      <c r="N2687" s="19"/>
      <c r="O2687" s="19"/>
      <c r="P2687" s="19"/>
      <c r="Q2687" s="19"/>
      <c r="R2687" s="19"/>
    </row>
    <row r="2688" spans="13:18">
      <c r="M2688" s="19"/>
      <c r="N2688" s="19"/>
      <c r="O2688" s="19"/>
      <c r="P2688" s="19"/>
      <c r="Q2688" s="19"/>
      <c r="R2688" s="19"/>
    </row>
    <row r="2689" spans="13:18">
      <c r="M2689" s="19"/>
      <c r="N2689" s="19"/>
      <c r="O2689" s="19"/>
      <c r="P2689" s="19"/>
      <c r="Q2689" s="19"/>
      <c r="R2689" s="19"/>
    </row>
    <row r="2690" spans="13:18">
      <c r="M2690" s="19"/>
      <c r="N2690" s="19"/>
      <c r="O2690" s="19"/>
      <c r="P2690" s="19"/>
      <c r="Q2690" s="19"/>
      <c r="R2690" s="19"/>
    </row>
    <row r="2691" spans="13:18">
      <c r="M2691" s="19"/>
      <c r="N2691" s="19"/>
      <c r="O2691" s="19"/>
      <c r="P2691" s="19"/>
      <c r="Q2691" s="19"/>
      <c r="R2691" s="19"/>
    </row>
    <row r="2692" spans="13:18">
      <c r="M2692" s="19"/>
      <c r="N2692" s="19"/>
      <c r="O2692" s="19"/>
      <c r="P2692" s="19"/>
      <c r="Q2692" s="19"/>
      <c r="R2692" s="19"/>
    </row>
    <row r="2693" spans="13:18">
      <c r="M2693" s="19"/>
      <c r="N2693" s="19"/>
      <c r="O2693" s="19"/>
      <c r="P2693" s="19"/>
      <c r="Q2693" s="19"/>
      <c r="R2693" s="19"/>
    </row>
    <row r="2694" spans="13:18">
      <c r="M2694" s="19"/>
      <c r="N2694" s="19"/>
      <c r="O2694" s="19"/>
      <c r="P2694" s="19"/>
      <c r="Q2694" s="19"/>
      <c r="R2694" s="19"/>
    </row>
    <row r="2695" spans="13:18">
      <c r="M2695" s="19"/>
      <c r="N2695" s="19"/>
      <c r="O2695" s="19"/>
      <c r="P2695" s="19"/>
      <c r="Q2695" s="19"/>
      <c r="R2695" s="19"/>
    </row>
    <row r="2696" spans="13:18">
      <c r="M2696" s="19"/>
      <c r="N2696" s="19"/>
      <c r="O2696" s="19"/>
      <c r="P2696" s="19"/>
      <c r="Q2696" s="19"/>
      <c r="R2696" s="19"/>
    </row>
    <row r="2697" spans="13:18">
      <c r="M2697" s="19"/>
      <c r="N2697" s="19"/>
      <c r="O2697" s="19"/>
      <c r="P2697" s="19"/>
      <c r="Q2697" s="19"/>
      <c r="R2697" s="19"/>
    </row>
    <row r="2698" spans="13:18">
      <c r="M2698" s="19"/>
      <c r="N2698" s="19"/>
      <c r="O2698" s="19"/>
      <c r="P2698" s="19"/>
      <c r="Q2698" s="19"/>
      <c r="R2698" s="19"/>
    </row>
    <row r="2699" spans="13:18">
      <c r="M2699" s="19"/>
      <c r="N2699" s="19"/>
      <c r="O2699" s="19"/>
      <c r="P2699" s="19"/>
      <c r="Q2699" s="19"/>
      <c r="R2699" s="19"/>
    </row>
    <row r="2700" spans="13:18">
      <c r="M2700" s="19"/>
      <c r="N2700" s="19"/>
      <c r="O2700" s="19"/>
      <c r="P2700" s="19"/>
      <c r="Q2700" s="19"/>
      <c r="R2700" s="19"/>
    </row>
    <row r="2701" spans="13:18">
      <c r="M2701" s="19"/>
      <c r="N2701" s="19"/>
      <c r="O2701" s="19"/>
      <c r="P2701" s="19"/>
      <c r="Q2701" s="19"/>
      <c r="R2701" s="19"/>
    </row>
    <row r="2702" spans="13:18">
      <c r="M2702" s="19"/>
      <c r="N2702" s="19"/>
      <c r="O2702" s="19"/>
      <c r="P2702" s="19"/>
      <c r="Q2702" s="19"/>
      <c r="R2702" s="19"/>
    </row>
    <row r="2703" spans="13:18">
      <c r="M2703" s="19"/>
      <c r="N2703" s="19"/>
      <c r="O2703" s="19"/>
      <c r="P2703" s="19"/>
      <c r="Q2703" s="19"/>
      <c r="R2703" s="19"/>
    </row>
    <row r="2704" spans="13:18">
      <c r="M2704" s="19"/>
      <c r="N2704" s="19"/>
      <c r="O2704" s="19"/>
      <c r="P2704" s="19"/>
      <c r="Q2704" s="19"/>
      <c r="R2704" s="19"/>
    </row>
    <row r="2705" spans="13:18">
      <c r="M2705" s="19"/>
      <c r="N2705" s="19"/>
      <c r="O2705" s="19"/>
      <c r="P2705" s="19"/>
      <c r="Q2705" s="19"/>
      <c r="R2705" s="19"/>
    </row>
    <row r="2706" spans="13:18">
      <c r="M2706" s="19"/>
      <c r="N2706" s="19"/>
      <c r="O2706" s="19"/>
      <c r="P2706" s="19"/>
      <c r="Q2706" s="19"/>
      <c r="R2706" s="19"/>
    </row>
    <row r="2707" spans="13:18">
      <c r="M2707" s="19"/>
      <c r="N2707" s="19"/>
      <c r="O2707" s="19"/>
      <c r="P2707" s="19"/>
      <c r="Q2707" s="19"/>
      <c r="R2707" s="19"/>
    </row>
    <row r="2708" spans="13:18">
      <c r="M2708" s="19"/>
      <c r="N2708" s="19"/>
      <c r="O2708" s="19"/>
      <c r="P2708" s="19"/>
      <c r="Q2708" s="19"/>
      <c r="R2708" s="19"/>
    </row>
    <row r="2709" spans="13:18">
      <c r="M2709" s="19"/>
      <c r="N2709" s="19"/>
      <c r="O2709" s="19"/>
      <c r="P2709" s="19"/>
      <c r="Q2709" s="19"/>
      <c r="R2709" s="19"/>
    </row>
    <row r="2710" spans="13:18">
      <c r="M2710" s="19"/>
      <c r="N2710" s="19"/>
      <c r="O2710" s="19"/>
      <c r="P2710" s="19"/>
      <c r="Q2710" s="19"/>
      <c r="R2710" s="19"/>
    </row>
    <row r="2711" spans="13:18">
      <c r="M2711" s="19"/>
      <c r="N2711" s="19"/>
      <c r="O2711" s="19"/>
      <c r="P2711" s="19"/>
      <c r="Q2711" s="19"/>
      <c r="R2711" s="19"/>
    </row>
    <row r="2712" spans="13:18">
      <c r="M2712" s="19"/>
      <c r="N2712" s="19"/>
      <c r="O2712" s="19"/>
      <c r="P2712" s="19"/>
      <c r="Q2712" s="19"/>
      <c r="R2712" s="19"/>
    </row>
    <row r="2713" spans="13:18">
      <c r="M2713" s="19"/>
      <c r="N2713" s="19"/>
      <c r="O2713" s="19"/>
      <c r="P2713" s="19"/>
      <c r="Q2713" s="19"/>
      <c r="R2713" s="19"/>
    </row>
    <row r="2714" spans="13:18">
      <c r="M2714" s="19"/>
      <c r="N2714" s="19"/>
      <c r="O2714" s="19"/>
      <c r="P2714" s="19"/>
      <c r="Q2714" s="19"/>
      <c r="R2714" s="19"/>
    </row>
    <row r="2715" spans="13:18">
      <c r="M2715" s="19"/>
      <c r="N2715" s="19"/>
      <c r="O2715" s="19"/>
      <c r="P2715" s="19"/>
      <c r="Q2715" s="19"/>
      <c r="R2715" s="19"/>
    </row>
    <row r="2716" spans="13:18">
      <c r="M2716" s="19"/>
      <c r="N2716" s="19"/>
      <c r="O2716" s="19"/>
      <c r="P2716" s="19"/>
      <c r="Q2716" s="19"/>
      <c r="R2716" s="19"/>
    </row>
    <row r="2717" spans="13:18">
      <c r="M2717" s="19"/>
      <c r="N2717" s="19"/>
      <c r="O2717" s="19"/>
      <c r="P2717" s="19"/>
      <c r="Q2717" s="19"/>
      <c r="R2717" s="19"/>
    </row>
    <row r="2718" spans="13:18">
      <c r="M2718" s="19"/>
      <c r="N2718" s="19"/>
      <c r="O2718" s="19"/>
      <c r="P2718" s="19"/>
      <c r="Q2718" s="19"/>
      <c r="R2718" s="19"/>
    </row>
    <row r="2719" spans="13:18">
      <c r="M2719" s="19"/>
      <c r="N2719" s="19"/>
      <c r="O2719" s="19"/>
      <c r="P2719" s="19"/>
      <c r="Q2719" s="19"/>
      <c r="R2719" s="19"/>
    </row>
    <row r="2720" spans="13:18">
      <c r="M2720" s="19"/>
      <c r="N2720" s="19"/>
      <c r="O2720" s="19"/>
      <c r="P2720" s="19"/>
      <c r="Q2720" s="19"/>
      <c r="R2720" s="19"/>
    </row>
    <row r="2721" spans="13:18">
      <c r="M2721" s="19"/>
      <c r="N2721" s="19"/>
      <c r="O2721" s="19"/>
      <c r="P2721" s="19"/>
      <c r="Q2721" s="19"/>
      <c r="R2721" s="19"/>
    </row>
    <row r="2722" spans="13:18">
      <c r="M2722" s="19"/>
      <c r="N2722" s="19"/>
      <c r="O2722" s="19"/>
      <c r="P2722" s="19"/>
      <c r="Q2722" s="19"/>
      <c r="R2722" s="19"/>
    </row>
    <row r="2723" spans="13:18">
      <c r="M2723" s="19"/>
      <c r="N2723" s="19"/>
      <c r="O2723" s="19"/>
      <c r="P2723" s="19"/>
      <c r="Q2723" s="19"/>
      <c r="R2723" s="19"/>
    </row>
    <row r="2724" spans="13:18">
      <c r="M2724" s="19"/>
      <c r="N2724" s="19"/>
      <c r="O2724" s="19"/>
      <c r="P2724" s="19"/>
      <c r="Q2724" s="19"/>
      <c r="R2724" s="19"/>
    </row>
    <row r="2725" spans="13:18">
      <c r="M2725" s="19"/>
      <c r="N2725" s="19"/>
      <c r="O2725" s="19"/>
      <c r="P2725" s="19"/>
      <c r="Q2725" s="19"/>
      <c r="R2725" s="19"/>
    </row>
    <row r="2726" spans="13:18">
      <c r="M2726" s="19"/>
      <c r="N2726" s="19"/>
      <c r="O2726" s="19"/>
      <c r="P2726" s="19"/>
      <c r="Q2726" s="19"/>
      <c r="R2726" s="19"/>
    </row>
    <row r="2727" spans="13:18">
      <c r="M2727" s="19"/>
      <c r="N2727" s="19"/>
      <c r="O2727" s="19"/>
      <c r="P2727" s="19"/>
      <c r="Q2727" s="19"/>
      <c r="R2727" s="19"/>
    </row>
    <row r="2728" spans="13:18">
      <c r="M2728" s="19"/>
      <c r="N2728" s="19"/>
      <c r="O2728" s="19"/>
      <c r="P2728" s="19"/>
      <c r="Q2728" s="19"/>
      <c r="R2728" s="19"/>
    </row>
    <row r="2729" spans="13:18">
      <c r="M2729" s="19"/>
      <c r="N2729" s="19"/>
      <c r="O2729" s="19"/>
      <c r="P2729" s="19"/>
      <c r="Q2729" s="19"/>
      <c r="R2729" s="19"/>
    </row>
    <row r="2730" spans="13:18">
      <c r="M2730" s="19"/>
      <c r="N2730" s="19"/>
      <c r="O2730" s="19"/>
      <c r="P2730" s="19"/>
      <c r="Q2730" s="19"/>
      <c r="R2730" s="19"/>
    </row>
    <row r="2731" spans="13:18">
      <c r="M2731" s="19"/>
      <c r="N2731" s="19"/>
      <c r="O2731" s="19"/>
      <c r="P2731" s="19"/>
      <c r="Q2731" s="19"/>
      <c r="R2731" s="19"/>
    </row>
    <row r="2732" spans="13:18">
      <c r="M2732" s="19"/>
      <c r="N2732" s="19"/>
      <c r="O2732" s="19"/>
      <c r="P2732" s="19"/>
      <c r="Q2732" s="19"/>
      <c r="R2732" s="19"/>
    </row>
    <row r="2733" spans="13:18">
      <c r="M2733" s="19"/>
      <c r="N2733" s="19"/>
      <c r="O2733" s="19"/>
      <c r="P2733" s="19"/>
      <c r="Q2733" s="19"/>
      <c r="R2733" s="19"/>
    </row>
    <row r="2734" spans="13:18">
      <c r="M2734" s="19"/>
      <c r="N2734" s="19"/>
      <c r="O2734" s="19"/>
      <c r="P2734" s="19"/>
      <c r="Q2734" s="19"/>
      <c r="R2734" s="19"/>
    </row>
    <row r="2735" spans="13:18">
      <c r="M2735" s="19"/>
      <c r="N2735" s="19"/>
      <c r="O2735" s="19"/>
      <c r="P2735" s="19"/>
      <c r="Q2735" s="19"/>
      <c r="R2735" s="19"/>
    </row>
    <row r="2736" spans="13:18">
      <c r="M2736" s="19"/>
      <c r="N2736" s="19"/>
      <c r="O2736" s="19"/>
      <c r="P2736" s="19"/>
      <c r="Q2736" s="19"/>
      <c r="R2736" s="19"/>
    </row>
    <row r="2737" spans="13:18">
      <c r="M2737" s="19"/>
      <c r="N2737" s="19"/>
      <c r="O2737" s="19"/>
      <c r="P2737" s="19"/>
      <c r="Q2737" s="19"/>
      <c r="R2737" s="19"/>
    </row>
    <row r="2738" spans="13:18">
      <c r="M2738" s="19"/>
      <c r="N2738" s="19"/>
      <c r="O2738" s="19"/>
      <c r="P2738" s="19"/>
      <c r="Q2738" s="19"/>
      <c r="R2738" s="19"/>
    </row>
    <row r="2739" spans="13:18">
      <c r="M2739" s="19"/>
      <c r="N2739" s="19"/>
      <c r="O2739" s="19"/>
      <c r="P2739" s="19"/>
      <c r="Q2739" s="19"/>
      <c r="R2739" s="19"/>
    </row>
    <row r="2740" spans="13:18">
      <c r="M2740" s="19"/>
      <c r="N2740" s="19"/>
      <c r="O2740" s="19"/>
      <c r="P2740" s="19"/>
      <c r="Q2740" s="19"/>
      <c r="R2740" s="19"/>
    </row>
    <row r="2741" spans="13:18">
      <c r="M2741" s="19"/>
      <c r="N2741" s="19"/>
      <c r="O2741" s="19"/>
      <c r="P2741" s="19"/>
      <c r="Q2741" s="19"/>
      <c r="R2741" s="19"/>
    </row>
    <row r="2742" spans="13:18">
      <c r="M2742" s="19"/>
      <c r="N2742" s="19"/>
      <c r="O2742" s="19"/>
      <c r="P2742" s="19"/>
      <c r="Q2742" s="19"/>
      <c r="R2742" s="19"/>
    </row>
    <row r="2743" spans="13:18">
      <c r="M2743" s="19"/>
      <c r="N2743" s="19"/>
      <c r="O2743" s="19"/>
      <c r="P2743" s="19"/>
      <c r="Q2743" s="19"/>
      <c r="R2743" s="19"/>
    </row>
    <row r="2744" spans="13:18">
      <c r="M2744" s="19"/>
      <c r="N2744" s="19"/>
      <c r="O2744" s="19"/>
      <c r="P2744" s="19"/>
      <c r="Q2744" s="19"/>
      <c r="R2744" s="19"/>
    </row>
    <row r="2745" spans="13:18">
      <c r="M2745" s="19"/>
      <c r="N2745" s="19"/>
      <c r="O2745" s="19"/>
      <c r="P2745" s="19"/>
      <c r="Q2745" s="19"/>
      <c r="R2745" s="19"/>
    </row>
    <row r="2746" spans="13:18">
      <c r="M2746" s="19"/>
      <c r="N2746" s="19"/>
      <c r="O2746" s="19"/>
      <c r="P2746" s="19"/>
      <c r="Q2746" s="19"/>
      <c r="R2746" s="19"/>
    </row>
    <row r="2747" spans="13:18">
      <c r="M2747" s="19"/>
      <c r="N2747" s="19"/>
      <c r="O2747" s="19"/>
      <c r="P2747" s="19"/>
      <c r="Q2747" s="19"/>
      <c r="R2747" s="19"/>
    </row>
    <row r="2748" spans="13:18">
      <c r="M2748" s="19"/>
      <c r="N2748" s="19"/>
      <c r="O2748" s="19"/>
      <c r="P2748" s="19"/>
      <c r="Q2748" s="19"/>
      <c r="R2748" s="19"/>
    </row>
    <row r="2749" spans="13:18">
      <c r="M2749" s="19"/>
      <c r="N2749" s="19"/>
      <c r="O2749" s="19"/>
      <c r="P2749" s="19"/>
      <c r="Q2749" s="19"/>
      <c r="R2749" s="19"/>
    </row>
    <row r="2750" spans="13:18">
      <c r="M2750" s="19"/>
      <c r="N2750" s="19"/>
      <c r="O2750" s="19"/>
      <c r="P2750" s="19"/>
      <c r="Q2750" s="19"/>
      <c r="R2750" s="19"/>
    </row>
    <row r="2751" spans="13:18">
      <c r="M2751" s="19"/>
      <c r="N2751" s="19"/>
      <c r="O2751" s="19"/>
      <c r="P2751" s="19"/>
      <c r="Q2751" s="19"/>
      <c r="R2751" s="19"/>
    </row>
    <row r="2752" spans="13:18">
      <c r="M2752" s="19"/>
      <c r="N2752" s="19"/>
      <c r="O2752" s="19"/>
      <c r="P2752" s="19"/>
      <c r="Q2752" s="19"/>
      <c r="R2752" s="19"/>
    </row>
    <row r="2753" spans="13:18">
      <c r="M2753" s="19"/>
      <c r="N2753" s="19"/>
      <c r="O2753" s="19"/>
      <c r="P2753" s="19"/>
      <c r="Q2753" s="19"/>
      <c r="R2753" s="19"/>
    </row>
    <row r="2754" spans="13:18">
      <c r="M2754" s="19"/>
      <c r="N2754" s="19"/>
      <c r="O2754" s="19"/>
      <c r="P2754" s="19"/>
      <c r="Q2754" s="19"/>
      <c r="R2754" s="19"/>
    </row>
    <row r="2755" spans="13:18">
      <c r="M2755" s="19"/>
      <c r="N2755" s="19"/>
      <c r="O2755" s="19"/>
      <c r="P2755" s="19"/>
      <c r="Q2755" s="19"/>
      <c r="R2755" s="19"/>
    </row>
    <row r="2756" spans="13:18">
      <c r="M2756" s="19"/>
      <c r="N2756" s="19"/>
      <c r="O2756" s="19"/>
      <c r="P2756" s="19"/>
      <c r="Q2756" s="19"/>
      <c r="R2756" s="19"/>
    </row>
    <row r="2757" spans="13:18">
      <c r="M2757" s="19"/>
      <c r="N2757" s="19"/>
      <c r="O2757" s="19"/>
      <c r="P2757" s="19"/>
      <c r="Q2757" s="19"/>
      <c r="R2757" s="19"/>
    </row>
    <row r="2758" spans="13:18">
      <c r="M2758" s="19"/>
      <c r="N2758" s="19"/>
      <c r="O2758" s="19"/>
      <c r="P2758" s="19"/>
      <c r="Q2758" s="19"/>
      <c r="R2758" s="19"/>
    </row>
    <row r="2759" spans="13:18">
      <c r="M2759" s="19"/>
      <c r="N2759" s="19"/>
      <c r="O2759" s="19"/>
      <c r="P2759" s="19"/>
      <c r="Q2759" s="19"/>
      <c r="R2759" s="19"/>
    </row>
    <row r="2760" spans="13:18">
      <c r="M2760" s="19"/>
      <c r="N2760" s="19"/>
      <c r="O2760" s="19"/>
      <c r="P2760" s="19"/>
      <c r="Q2760" s="19"/>
      <c r="R2760" s="19"/>
    </row>
    <row r="2761" spans="13:18">
      <c r="M2761" s="19"/>
      <c r="N2761" s="19"/>
      <c r="O2761" s="19"/>
      <c r="P2761" s="19"/>
      <c r="Q2761" s="19"/>
      <c r="R2761" s="19"/>
    </row>
    <row r="2762" spans="13:18">
      <c r="M2762" s="19"/>
      <c r="N2762" s="19"/>
      <c r="O2762" s="19"/>
      <c r="P2762" s="19"/>
      <c r="Q2762" s="19"/>
      <c r="R2762" s="19"/>
    </row>
    <row r="2763" spans="13:18">
      <c r="M2763" s="19"/>
      <c r="N2763" s="19"/>
      <c r="O2763" s="19"/>
      <c r="P2763" s="19"/>
      <c r="Q2763" s="19"/>
      <c r="R2763" s="19"/>
    </row>
    <row r="2764" spans="13:18">
      <c r="M2764" s="19"/>
      <c r="N2764" s="19"/>
      <c r="O2764" s="19"/>
      <c r="P2764" s="19"/>
      <c r="Q2764" s="19"/>
      <c r="R2764" s="19"/>
    </row>
    <row r="2765" spans="13:18">
      <c r="M2765" s="19"/>
      <c r="N2765" s="19"/>
      <c r="O2765" s="19"/>
      <c r="P2765" s="19"/>
      <c r="Q2765" s="19"/>
      <c r="R2765" s="19"/>
    </row>
    <row r="2766" spans="13:18">
      <c r="M2766" s="19"/>
      <c r="N2766" s="19"/>
      <c r="O2766" s="19"/>
      <c r="P2766" s="19"/>
      <c r="Q2766" s="19"/>
      <c r="R2766" s="19"/>
    </row>
    <row r="2767" spans="13:18">
      <c r="M2767" s="19"/>
      <c r="N2767" s="19"/>
      <c r="O2767" s="19"/>
      <c r="P2767" s="19"/>
      <c r="Q2767" s="19"/>
      <c r="R2767" s="19"/>
    </row>
    <row r="2768" spans="13:18">
      <c r="M2768" s="19"/>
      <c r="N2768" s="19"/>
      <c r="O2768" s="19"/>
      <c r="P2768" s="19"/>
      <c r="Q2768" s="19"/>
      <c r="R2768" s="19"/>
    </row>
    <row r="2769" spans="13:18">
      <c r="M2769" s="19"/>
      <c r="N2769" s="19"/>
      <c r="O2769" s="19"/>
      <c r="P2769" s="19"/>
      <c r="Q2769" s="19"/>
      <c r="R2769" s="19"/>
    </row>
    <row r="2770" spans="13:18">
      <c r="M2770" s="19"/>
      <c r="N2770" s="19"/>
      <c r="O2770" s="19"/>
      <c r="P2770" s="19"/>
      <c r="Q2770" s="19"/>
      <c r="R2770" s="19"/>
    </row>
    <row r="2771" spans="13:18">
      <c r="M2771" s="19"/>
      <c r="N2771" s="19"/>
      <c r="O2771" s="19"/>
      <c r="P2771" s="19"/>
      <c r="Q2771" s="19"/>
      <c r="R2771" s="19"/>
    </row>
    <row r="2772" spans="13:18">
      <c r="M2772" s="19"/>
      <c r="N2772" s="19"/>
      <c r="O2772" s="19"/>
      <c r="P2772" s="19"/>
      <c r="Q2772" s="19"/>
      <c r="R2772" s="19"/>
    </row>
    <row r="2773" spans="13:18">
      <c r="M2773" s="19"/>
      <c r="N2773" s="19"/>
      <c r="O2773" s="19"/>
      <c r="P2773" s="19"/>
      <c r="Q2773" s="19"/>
      <c r="R2773" s="19"/>
    </row>
    <row r="2774" spans="13:18">
      <c r="M2774" s="19"/>
      <c r="N2774" s="19"/>
      <c r="O2774" s="19"/>
      <c r="P2774" s="19"/>
      <c r="Q2774" s="19"/>
      <c r="R2774" s="19"/>
    </row>
    <row r="2775" spans="13:18">
      <c r="M2775" s="19"/>
      <c r="N2775" s="19"/>
      <c r="O2775" s="19"/>
      <c r="P2775" s="19"/>
      <c r="Q2775" s="19"/>
      <c r="R2775" s="19"/>
    </row>
    <row r="2776" spans="13:18">
      <c r="M2776" s="19"/>
      <c r="N2776" s="19"/>
      <c r="O2776" s="19"/>
      <c r="P2776" s="19"/>
      <c r="Q2776" s="19"/>
      <c r="R2776" s="19"/>
    </row>
    <row r="2777" spans="13:18">
      <c r="M2777" s="19"/>
      <c r="N2777" s="19"/>
      <c r="O2777" s="19"/>
      <c r="P2777" s="19"/>
      <c r="Q2777" s="19"/>
      <c r="R2777" s="19"/>
    </row>
    <row r="2778" spans="13:18">
      <c r="M2778" s="19"/>
      <c r="N2778" s="19"/>
      <c r="O2778" s="19"/>
      <c r="P2778" s="19"/>
      <c r="Q2778" s="19"/>
      <c r="R2778" s="19"/>
    </row>
    <row r="2779" spans="13:18">
      <c r="M2779" s="19"/>
      <c r="N2779" s="19"/>
      <c r="O2779" s="19"/>
      <c r="P2779" s="19"/>
      <c r="Q2779" s="19"/>
      <c r="R2779" s="19"/>
    </row>
    <row r="2780" spans="13:18">
      <c r="M2780" s="19"/>
      <c r="N2780" s="19"/>
      <c r="O2780" s="19"/>
      <c r="P2780" s="19"/>
      <c r="Q2780" s="19"/>
      <c r="R2780" s="19"/>
    </row>
    <row r="2781" spans="13:18">
      <c r="M2781" s="19"/>
      <c r="N2781" s="19"/>
      <c r="O2781" s="19"/>
      <c r="P2781" s="19"/>
      <c r="Q2781" s="19"/>
      <c r="R2781" s="19"/>
    </row>
    <row r="2782" spans="13:18">
      <c r="M2782" s="19"/>
      <c r="N2782" s="19"/>
      <c r="O2782" s="19"/>
      <c r="P2782" s="19"/>
      <c r="Q2782" s="19"/>
      <c r="R2782" s="19"/>
    </row>
    <row r="2783" spans="13:18">
      <c r="M2783" s="19"/>
      <c r="N2783" s="19"/>
      <c r="O2783" s="19"/>
      <c r="P2783" s="19"/>
      <c r="Q2783" s="19"/>
      <c r="R2783" s="19"/>
    </row>
    <row r="2784" spans="13:18">
      <c r="M2784" s="19"/>
      <c r="N2784" s="19"/>
      <c r="O2784" s="19"/>
      <c r="P2784" s="19"/>
      <c r="Q2784" s="19"/>
      <c r="R2784" s="19"/>
    </row>
    <row r="2785" spans="13:18">
      <c r="M2785" s="19"/>
      <c r="N2785" s="19"/>
      <c r="O2785" s="19"/>
      <c r="P2785" s="19"/>
      <c r="Q2785" s="19"/>
      <c r="R2785" s="19"/>
    </row>
    <row r="2786" spans="13:18">
      <c r="M2786" s="19"/>
      <c r="N2786" s="19"/>
      <c r="O2786" s="19"/>
      <c r="P2786" s="19"/>
      <c r="Q2786" s="19"/>
      <c r="R2786" s="19"/>
    </row>
    <row r="2787" spans="13:18">
      <c r="M2787" s="19"/>
      <c r="N2787" s="19"/>
      <c r="O2787" s="19"/>
      <c r="P2787" s="19"/>
      <c r="Q2787" s="19"/>
      <c r="R2787" s="19"/>
    </row>
    <row r="2788" spans="13:18">
      <c r="M2788" s="19"/>
      <c r="N2788" s="19"/>
      <c r="O2788" s="19"/>
      <c r="P2788" s="19"/>
      <c r="Q2788" s="19"/>
      <c r="R2788" s="19"/>
    </row>
    <row r="2789" spans="13:18">
      <c r="M2789" s="19"/>
      <c r="N2789" s="19"/>
      <c r="O2789" s="19"/>
      <c r="P2789" s="19"/>
      <c r="Q2789" s="19"/>
      <c r="R2789" s="19"/>
    </row>
    <row r="2790" spans="13:18">
      <c r="M2790" s="19"/>
      <c r="N2790" s="19"/>
      <c r="O2790" s="19"/>
      <c r="P2790" s="19"/>
      <c r="Q2790" s="19"/>
      <c r="R2790" s="19"/>
    </row>
    <row r="2791" spans="13:18">
      <c r="M2791" s="19"/>
      <c r="N2791" s="19"/>
      <c r="O2791" s="19"/>
      <c r="P2791" s="19"/>
      <c r="Q2791" s="19"/>
      <c r="R2791" s="19"/>
    </row>
    <row r="2792" spans="13:18">
      <c r="M2792" s="19"/>
      <c r="N2792" s="19"/>
      <c r="O2792" s="19"/>
      <c r="P2792" s="19"/>
      <c r="Q2792" s="19"/>
      <c r="R2792" s="19"/>
    </row>
    <row r="2793" spans="13:18">
      <c r="M2793" s="19"/>
      <c r="N2793" s="19"/>
      <c r="O2793" s="19"/>
      <c r="P2793" s="19"/>
      <c r="Q2793" s="19"/>
      <c r="R2793" s="19"/>
    </row>
    <row r="2794" spans="13:18">
      <c r="M2794" s="19"/>
      <c r="N2794" s="19"/>
      <c r="O2794" s="19"/>
      <c r="P2794" s="19"/>
      <c r="Q2794" s="19"/>
      <c r="R2794" s="19"/>
    </row>
    <row r="2795" spans="13:18">
      <c r="M2795" s="19"/>
      <c r="N2795" s="19"/>
      <c r="O2795" s="19"/>
      <c r="P2795" s="19"/>
      <c r="Q2795" s="19"/>
      <c r="R2795" s="19"/>
    </row>
    <row r="2796" spans="13:18">
      <c r="M2796" s="19"/>
      <c r="N2796" s="19"/>
      <c r="O2796" s="19"/>
      <c r="P2796" s="19"/>
      <c r="Q2796" s="19"/>
      <c r="R2796" s="19"/>
    </row>
    <row r="2797" spans="13:18">
      <c r="M2797" s="19"/>
      <c r="N2797" s="19"/>
      <c r="O2797" s="19"/>
      <c r="P2797" s="19"/>
      <c r="Q2797" s="19"/>
      <c r="R2797" s="19"/>
    </row>
    <row r="2798" spans="13:18">
      <c r="M2798" s="19"/>
      <c r="N2798" s="19"/>
      <c r="O2798" s="19"/>
      <c r="P2798" s="19"/>
      <c r="Q2798" s="19"/>
      <c r="R2798" s="19"/>
    </row>
    <row r="2799" spans="13:18">
      <c r="M2799" s="19"/>
      <c r="N2799" s="19"/>
      <c r="O2799" s="19"/>
      <c r="P2799" s="19"/>
      <c r="Q2799" s="19"/>
      <c r="R2799" s="19"/>
    </row>
    <row r="2800" spans="13:18">
      <c r="M2800" s="19"/>
      <c r="N2800" s="19"/>
      <c r="O2800" s="19"/>
      <c r="P2800" s="19"/>
      <c r="Q2800" s="19"/>
      <c r="R2800" s="19"/>
    </row>
    <row r="2801" spans="13:18">
      <c r="M2801" s="19"/>
      <c r="N2801" s="19"/>
      <c r="O2801" s="19"/>
      <c r="P2801" s="19"/>
      <c r="Q2801" s="19"/>
      <c r="R2801" s="19"/>
    </row>
    <row r="2802" spans="13:18">
      <c r="M2802" s="19"/>
      <c r="N2802" s="19"/>
      <c r="O2802" s="19"/>
      <c r="P2802" s="19"/>
      <c r="Q2802" s="19"/>
      <c r="R2802" s="19"/>
    </row>
    <row r="2803" spans="13:18">
      <c r="M2803" s="19"/>
      <c r="N2803" s="19"/>
      <c r="O2803" s="19"/>
      <c r="P2803" s="19"/>
      <c r="Q2803" s="19"/>
      <c r="R2803" s="19"/>
    </row>
    <row r="2804" spans="13:18">
      <c r="M2804" s="19"/>
      <c r="N2804" s="19"/>
      <c r="O2804" s="19"/>
      <c r="P2804" s="19"/>
      <c r="Q2804" s="19"/>
      <c r="R2804" s="19"/>
    </row>
    <row r="2805" spans="13:18">
      <c r="M2805" s="19"/>
      <c r="N2805" s="19"/>
      <c r="O2805" s="19"/>
      <c r="P2805" s="19"/>
      <c r="Q2805" s="19"/>
      <c r="R2805" s="19"/>
    </row>
    <row r="2806" spans="13:18">
      <c r="M2806" s="19"/>
      <c r="N2806" s="19"/>
      <c r="O2806" s="19"/>
      <c r="P2806" s="19"/>
      <c r="Q2806" s="19"/>
      <c r="R2806" s="19"/>
    </row>
    <row r="2807" spans="13:18">
      <c r="M2807" s="19"/>
      <c r="N2807" s="19"/>
      <c r="O2807" s="19"/>
      <c r="P2807" s="19"/>
      <c r="Q2807" s="19"/>
      <c r="R2807" s="19"/>
    </row>
    <row r="2808" spans="13:18">
      <c r="M2808" s="19"/>
      <c r="N2808" s="19"/>
      <c r="O2808" s="19"/>
      <c r="P2808" s="19"/>
      <c r="Q2808" s="19"/>
      <c r="R2808" s="19"/>
    </row>
    <row r="2809" spans="13:18">
      <c r="M2809" s="19"/>
      <c r="N2809" s="19"/>
      <c r="O2809" s="19"/>
      <c r="P2809" s="19"/>
      <c r="Q2809" s="19"/>
      <c r="R2809" s="19"/>
    </row>
    <row r="2810" spans="13:18">
      <c r="M2810" s="19"/>
      <c r="N2810" s="19"/>
      <c r="O2810" s="19"/>
      <c r="P2810" s="19"/>
      <c r="Q2810" s="19"/>
      <c r="R2810" s="19"/>
    </row>
    <row r="2811" spans="13:18">
      <c r="M2811" s="19"/>
      <c r="N2811" s="19"/>
      <c r="O2811" s="19"/>
      <c r="P2811" s="19"/>
      <c r="Q2811" s="19"/>
      <c r="R2811" s="19"/>
    </row>
    <row r="2812" spans="13:18">
      <c r="M2812" s="19"/>
      <c r="N2812" s="19"/>
      <c r="O2812" s="19"/>
      <c r="P2812" s="19"/>
      <c r="Q2812" s="19"/>
      <c r="R2812" s="19"/>
    </row>
    <row r="2813" spans="13:18">
      <c r="M2813" s="19"/>
      <c r="N2813" s="19"/>
      <c r="O2813" s="19"/>
      <c r="P2813" s="19"/>
      <c r="Q2813" s="19"/>
      <c r="R2813" s="19"/>
    </row>
    <row r="2814" spans="13:18">
      <c r="M2814" s="19"/>
      <c r="N2814" s="19"/>
      <c r="O2814" s="19"/>
      <c r="P2814" s="19"/>
      <c r="Q2814" s="19"/>
      <c r="R2814" s="19"/>
    </row>
    <row r="2815" spans="13:18">
      <c r="M2815" s="19"/>
      <c r="N2815" s="19"/>
      <c r="O2815" s="19"/>
      <c r="P2815" s="19"/>
      <c r="Q2815" s="19"/>
      <c r="R2815" s="19"/>
    </row>
    <row r="2816" spans="13:18">
      <c r="M2816" s="19"/>
      <c r="N2816" s="19"/>
      <c r="O2816" s="19"/>
      <c r="P2816" s="19"/>
      <c r="Q2816" s="19"/>
      <c r="R2816" s="19"/>
    </row>
    <row r="2817" spans="13:18">
      <c r="M2817" s="19"/>
      <c r="N2817" s="19"/>
      <c r="O2817" s="19"/>
      <c r="P2817" s="19"/>
      <c r="Q2817" s="19"/>
      <c r="R2817" s="19"/>
    </row>
    <row r="2818" spans="13:18">
      <c r="M2818" s="19"/>
      <c r="N2818" s="19"/>
      <c r="O2818" s="19"/>
      <c r="P2818" s="19"/>
      <c r="Q2818" s="19"/>
      <c r="R2818" s="19"/>
    </row>
    <row r="2819" spans="13:18">
      <c r="M2819" s="19"/>
      <c r="N2819" s="19"/>
      <c r="O2819" s="19"/>
      <c r="P2819" s="19"/>
      <c r="Q2819" s="19"/>
      <c r="R2819" s="19"/>
    </row>
    <row r="2820" spans="13:18">
      <c r="M2820" s="19"/>
      <c r="N2820" s="19"/>
      <c r="O2820" s="19"/>
      <c r="P2820" s="19"/>
      <c r="Q2820" s="19"/>
      <c r="R2820" s="19"/>
    </row>
    <row r="2821" spans="13:18">
      <c r="M2821" s="19"/>
      <c r="N2821" s="19"/>
      <c r="O2821" s="19"/>
      <c r="P2821" s="19"/>
      <c r="Q2821" s="19"/>
      <c r="R2821" s="19"/>
    </row>
    <row r="2822" spans="13:18">
      <c r="M2822" s="19"/>
      <c r="N2822" s="19"/>
      <c r="O2822" s="19"/>
      <c r="P2822" s="19"/>
      <c r="Q2822" s="19"/>
      <c r="R2822" s="19"/>
    </row>
    <row r="2823" spans="13:18">
      <c r="M2823" s="19"/>
      <c r="N2823" s="19"/>
      <c r="O2823" s="19"/>
      <c r="P2823" s="19"/>
      <c r="Q2823" s="19"/>
      <c r="R2823" s="19"/>
    </row>
    <row r="2824" spans="13:18">
      <c r="M2824" s="19"/>
      <c r="N2824" s="19"/>
      <c r="O2824" s="19"/>
      <c r="P2824" s="19"/>
      <c r="Q2824" s="19"/>
      <c r="R2824" s="19"/>
    </row>
    <row r="2825" spans="13:18">
      <c r="M2825" s="19"/>
      <c r="N2825" s="19"/>
      <c r="O2825" s="19"/>
      <c r="P2825" s="19"/>
      <c r="Q2825" s="19"/>
      <c r="R2825" s="19"/>
    </row>
    <row r="2826" spans="13:18">
      <c r="M2826" s="19"/>
      <c r="N2826" s="19"/>
      <c r="O2826" s="19"/>
      <c r="P2826" s="19"/>
      <c r="Q2826" s="19"/>
      <c r="R2826" s="19"/>
    </row>
    <row r="2827" spans="13:18">
      <c r="M2827" s="19"/>
      <c r="N2827" s="19"/>
      <c r="O2827" s="19"/>
      <c r="P2827" s="19"/>
      <c r="Q2827" s="19"/>
      <c r="R2827" s="19"/>
    </row>
    <row r="2828" spans="13:18">
      <c r="M2828" s="19"/>
      <c r="N2828" s="19"/>
      <c r="O2828" s="19"/>
      <c r="P2828" s="19"/>
      <c r="Q2828" s="19"/>
      <c r="R2828" s="19"/>
    </row>
    <row r="2829" spans="13:18">
      <c r="M2829" s="19"/>
      <c r="N2829" s="19"/>
      <c r="O2829" s="19"/>
      <c r="P2829" s="19"/>
      <c r="Q2829" s="19"/>
      <c r="R2829" s="19"/>
    </row>
    <row r="2830" spans="13:18">
      <c r="M2830" s="19"/>
      <c r="N2830" s="19"/>
      <c r="O2830" s="19"/>
      <c r="P2830" s="19"/>
      <c r="Q2830" s="19"/>
      <c r="R2830" s="19"/>
    </row>
    <row r="2831" spans="13:18">
      <c r="M2831" s="19"/>
      <c r="N2831" s="19"/>
      <c r="O2831" s="19"/>
      <c r="P2831" s="19"/>
      <c r="Q2831" s="19"/>
      <c r="R2831" s="19"/>
    </row>
    <row r="2832" spans="13:18">
      <c r="M2832" s="19"/>
      <c r="N2832" s="19"/>
      <c r="O2832" s="19"/>
      <c r="P2832" s="19"/>
      <c r="Q2832" s="19"/>
      <c r="R2832" s="19"/>
    </row>
    <row r="2833" spans="13:18">
      <c r="M2833" s="19"/>
      <c r="N2833" s="19"/>
      <c r="O2833" s="19"/>
      <c r="P2833" s="19"/>
      <c r="Q2833" s="19"/>
      <c r="R2833" s="19"/>
    </row>
    <row r="2834" spans="13:18">
      <c r="M2834" s="19"/>
      <c r="N2834" s="19"/>
      <c r="O2834" s="19"/>
      <c r="P2834" s="19"/>
      <c r="Q2834" s="19"/>
      <c r="R2834" s="19"/>
    </row>
    <row r="2835" spans="13:18">
      <c r="M2835" s="19"/>
      <c r="N2835" s="19"/>
      <c r="O2835" s="19"/>
      <c r="P2835" s="19"/>
      <c r="Q2835" s="19"/>
      <c r="R2835" s="19"/>
    </row>
    <row r="2836" spans="13:18">
      <c r="M2836" s="19"/>
      <c r="N2836" s="19"/>
      <c r="O2836" s="19"/>
      <c r="P2836" s="19"/>
      <c r="Q2836" s="19"/>
      <c r="R2836" s="19"/>
    </row>
    <row r="2837" spans="13:18">
      <c r="M2837" s="19"/>
      <c r="N2837" s="19"/>
      <c r="O2837" s="19"/>
      <c r="P2837" s="19"/>
      <c r="Q2837" s="19"/>
      <c r="R2837" s="19"/>
    </row>
    <row r="2838" spans="13:18">
      <c r="M2838" s="19"/>
      <c r="N2838" s="19"/>
      <c r="O2838" s="19"/>
      <c r="P2838" s="19"/>
      <c r="Q2838" s="19"/>
      <c r="R2838" s="19"/>
    </row>
    <row r="2839" spans="13:18">
      <c r="M2839" s="19"/>
      <c r="N2839" s="19"/>
      <c r="O2839" s="19"/>
      <c r="P2839" s="19"/>
      <c r="Q2839" s="19"/>
      <c r="R2839" s="19"/>
    </row>
    <row r="2840" spans="13:18">
      <c r="M2840" s="19"/>
      <c r="N2840" s="19"/>
      <c r="O2840" s="19"/>
      <c r="P2840" s="19"/>
      <c r="Q2840" s="19"/>
      <c r="R2840" s="19"/>
    </row>
    <row r="2841" spans="13:18">
      <c r="M2841" s="19"/>
      <c r="N2841" s="19"/>
      <c r="O2841" s="19"/>
      <c r="P2841" s="19"/>
      <c r="Q2841" s="19"/>
      <c r="R2841" s="19"/>
    </row>
    <row r="2842" spans="13:18">
      <c r="M2842" s="19"/>
      <c r="N2842" s="19"/>
      <c r="O2842" s="19"/>
      <c r="P2842" s="19"/>
      <c r="Q2842" s="19"/>
      <c r="R2842" s="19"/>
    </row>
    <row r="2843" spans="13:18">
      <c r="M2843" s="19"/>
      <c r="N2843" s="19"/>
      <c r="O2843" s="19"/>
      <c r="P2843" s="19"/>
      <c r="Q2843" s="19"/>
      <c r="R2843" s="19"/>
    </row>
    <row r="2844" spans="13:18">
      <c r="M2844" s="19"/>
      <c r="N2844" s="19"/>
      <c r="O2844" s="19"/>
      <c r="P2844" s="19"/>
      <c r="Q2844" s="19"/>
      <c r="R2844" s="19"/>
    </row>
    <row r="2845" spans="13:18">
      <c r="M2845" s="19"/>
      <c r="N2845" s="19"/>
      <c r="O2845" s="19"/>
      <c r="P2845" s="19"/>
      <c r="Q2845" s="19"/>
      <c r="R2845" s="19"/>
    </row>
    <row r="2846" spans="13:18">
      <c r="M2846" s="19"/>
      <c r="N2846" s="19"/>
      <c r="O2846" s="19"/>
      <c r="P2846" s="19"/>
      <c r="Q2846" s="19"/>
      <c r="R2846" s="19"/>
    </row>
    <row r="2847" spans="13:18">
      <c r="M2847" s="19"/>
      <c r="N2847" s="19"/>
      <c r="O2847" s="19"/>
      <c r="P2847" s="19"/>
      <c r="Q2847" s="19"/>
      <c r="R2847" s="19"/>
    </row>
    <row r="2848" spans="13:18">
      <c r="M2848" s="19"/>
      <c r="N2848" s="19"/>
      <c r="O2848" s="19"/>
      <c r="P2848" s="19"/>
      <c r="Q2848" s="19"/>
      <c r="R2848" s="19"/>
    </row>
    <row r="2849" spans="13:18">
      <c r="M2849" s="19"/>
      <c r="N2849" s="19"/>
      <c r="O2849" s="19"/>
      <c r="P2849" s="19"/>
      <c r="Q2849" s="19"/>
      <c r="R2849" s="19"/>
    </row>
    <row r="2850" spans="13:18">
      <c r="M2850" s="19"/>
      <c r="N2850" s="19"/>
      <c r="O2850" s="19"/>
      <c r="P2850" s="19"/>
      <c r="Q2850" s="19"/>
      <c r="R2850" s="19"/>
    </row>
    <row r="2851" spans="13:18">
      <c r="M2851" s="19"/>
      <c r="N2851" s="19"/>
      <c r="O2851" s="19"/>
      <c r="P2851" s="19"/>
      <c r="Q2851" s="19"/>
      <c r="R2851" s="19"/>
    </row>
    <row r="2852" spans="13:18">
      <c r="M2852" s="19"/>
      <c r="N2852" s="19"/>
      <c r="O2852" s="19"/>
      <c r="P2852" s="19"/>
      <c r="Q2852" s="19"/>
      <c r="R2852" s="19"/>
    </row>
    <row r="2853" spans="13:18">
      <c r="M2853" s="19"/>
      <c r="N2853" s="19"/>
      <c r="O2853" s="19"/>
      <c r="P2853" s="19"/>
      <c r="Q2853" s="19"/>
      <c r="R2853" s="19"/>
    </row>
    <row r="2854" spans="13:18">
      <c r="M2854" s="19"/>
      <c r="N2854" s="19"/>
      <c r="O2854" s="19"/>
      <c r="P2854" s="19"/>
      <c r="Q2854" s="19"/>
      <c r="R2854" s="19"/>
    </row>
    <row r="2855" spans="13:18">
      <c r="M2855" s="19"/>
      <c r="N2855" s="19"/>
      <c r="O2855" s="19"/>
      <c r="P2855" s="19"/>
      <c r="Q2855" s="19"/>
      <c r="R2855" s="19"/>
    </row>
    <row r="2856" spans="13:18">
      <c r="M2856" s="19"/>
      <c r="N2856" s="19"/>
      <c r="O2856" s="19"/>
      <c r="P2856" s="19"/>
      <c r="Q2856" s="19"/>
      <c r="R2856" s="19"/>
    </row>
    <row r="2857" spans="13:18">
      <c r="M2857" s="19"/>
      <c r="N2857" s="19"/>
      <c r="O2857" s="19"/>
      <c r="P2857" s="19"/>
      <c r="Q2857" s="19"/>
      <c r="R2857" s="19"/>
    </row>
    <row r="2858" spans="13:18">
      <c r="M2858" s="19"/>
      <c r="N2858" s="19"/>
      <c r="O2858" s="19"/>
      <c r="P2858" s="19"/>
      <c r="Q2858" s="19"/>
      <c r="R2858" s="19"/>
    </row>
    <row r="2859" spans="13:18">
      <c r="M2859" s="19"/>
      <c r="N2859" s="19"/>
      <c r="O2859" s="19"/>
      <c r="P2859" s="19"/>
      <c r="Q2859" s="19"/>
      <c r="R2859" s="19"/>
    </row>
    <row r="2860" spans="13:18">
      <c r="M2860" s="19"/>
      <c r="N2860" s="19"/>
      <c r="O2860" s="19"/>
      <c r="P2860" s="19"/>
      <c r="Q2860" s="19"/>
      <c r="R2860" s="19"/>
    </row>
    <row r="2861" spans="13:18">
      <c r="M2861" s="19"/>
      <c r="N2861" s="19"/>
      <c r="O2861" s="19"/>
      <c r="P2861" s="19"/>
      <c r="Q2861" s="19"/>
      <c r="R2861" s="19"/>
    </row>
    <row r="2862" spans="13:18">
      <c r="M2862" s="19"/>
      <c r="N2862" s="19"/>
      <c r="O2862" s="19"/>
      <c r="P2862" s="19"/>
      <c r="Q2862" s="19"/>
      <c r="R2862" s="19"/>
    </row>
    <row r="2863" spans="13:18">
      <c r="M2863" s="19"/>
      <c r="N2863" s="19"/>
      <c r="O2863" s="19"/>
      <c r="P2863" s="19"/>
      <c r="Q2863" s="19"/>
      <c r="R2863" s="19"/>
    </row>
    <row r="2864" spans="13:18">
      <c r="M2864" s="19"/>
      <c r="N2864" s="19"/>
      <c r="O2864" s="19"/>
      <c r="P2864" s="19"/>
      <c r="Q2864" s="19"/>
      <c r="R2864" s="19"/>
    </row>
    <row r="2865" spans="13:18">
      <c r="M2865" s="19"/>
      <c r="N2865" s="19"/>
      <c r="O2865" s="19"/>
      <c r="P2865" s="19"/>
      <c r="Q2865" s="19"/>
      <c r="R2865" s="19"/>
    </row>
    <row r="2866" spans="13:18">
      <c r="M2866" s="19"/>
      <c r="N2866" s="19"/>
      <c r="O2866" s="19"/>
      <c r="P2866" s="19"/>
      <c r="Q2866" s="19"/>
      <c r="R2866" s="19"/>
    </row>
    <row r="2867" spans="13:18">
      <c r="M2867" s="19"/>
      <c r="N2867" s="19"/>
      <c r="O2867" s="19"/>
      <c r="P2867" s="19"/>
      <c r="Q2867" s="19"/>
      <c r="R2867" s="19"/>
    </row>
    <row r="2868" spans="13:18">
      <c r="M2868" s="19"/>
      <c r="N2868" s="19"/>
      <c r="O2868" s="19"/>
      <c r="P2868" s="19"/>
      <c r="Q2868" s="19"/>
      <c r="R2868" s="19"/>
    </row>
    <row r="2869" spans="13:18">
      <c r="M2869" s="19"/>
      <c r="N2869" s="19"/>
      <c r="O2869" s="19"/>
      <c r="P2869" s="19"/>
      <c r="Q2869" s="19"/>
      <c r="R2869" s="19"/>
    </row>
    <row r="2870" spans="13:18">
      <c r="M2870" s="19"/>
      <c r="N2870" s="19"/>
      <c r="O2870" s="19"/>
      <c r="P2870" s="19"/>
      <c r="Q2870" s="19"/>
      <c r="R2870" s="19"/>
    </row>
    <row r="2871" spans="13:18">
      <c r="M2871" s="19"/>
      <c r="N2871" s="19"/>
      <c r="O2871" s="19"/>
      <c r="P2871" s="19"/>
      <c r="Q2871" s="19"/>
      <c r="R2871" s="19"/>
    </row>
    <row r="2872" spans="13:18">
      <c r="M2872" s="19"/>
      <c r="N2872" s="19"/>
      <c r="O2872" s="19"/>
      <c r="P2872" s="19"/>
      <c r="Q2872" s="19"/>
      <c r="R2872" s="19"/>
    </row>
    <row r="2873" spans="13:18">
      <c r="M2873" s="19"/>
      <c r="N2873" s="19"/>
      <c r="O2873" s="19"/>
      <c r="P2873" s="19"/>
      <c r="Q2873" s="19"/>
      <c r="R2873" s="19"/>
    </row>
    <row r="2874" spans="13:18">
      <c r="M2874" s="19"/>
      <c r="N2874" s="19"/>
      <c r="O2874" s="19"/>
      <c r="P2874" s="19"/>
      <c r="Q2874" s="19"/>
      <c r="R2874" s="19"/>
    </row>
    <row r="2875" spans="13:18">
      <c r="M2875" s="19"/>
      <c r="N2875" s="19"/>
      <c r="O2875" s="19"/>
      <c r="P2875" s="19"/>
      <c r="Q2875" s="19"/>
      <c r="R2875" s="19"/>
    </row>
    <row r="2876" spans="13:18">
      <c r="M2876" s="19"/>
      <c r="N2876" s="19"/>
      <c r="O2876" s="19"/>
      <c r="P2876" s="19"/>
      <c r="Q2876" s="19"/>
      <c r="R2876" s="19"/>
    </row>
    <row r="2877" spans="13:18">
      <c r="M2877" s="19"/>
      <c r="N2877" s="19"/>
      <c r="O2877" s="19"/>
      <c r="P2877" s="19"/>
      <c r="Q2877" s="19"/>
      <c r="R2877" s="19"/>
    </row>
    <row r="2878" spans="13:18">
      <c r="M2878" s="19"/>
      <c r="N2878" s="19"/>
      <c r="O2878" s="19"/>
      <c r="P2878" s="19"/>
      <c r="Q2878" s="19"/>
      <c r="R2878" s="19"/>
    </row>
    <row r="2879" spans="13:18">
      <c r="M2879" s="19"/>
      <c r="N2879" s="19"/>
      <c r="O2879" s="19"/>
      <c r="P2879" s="19"/>
      <c r="Q2879" s="19"/>
      <c r="R2879" s="19"/>
    </row>
    <row r="2880" spans="13:18">
      <c r="M2880" s="19"/>
      <c r="N2880" s="19"/>
      <c r="O2880" s="19"/>
      <c r="P2880" s="19"/>
      <c r="Q2880" s="19"/>
      <c r="R2880" s="19"/>
    </row>
    <row r="2881" spans="13:18">
      <c r="M2881" s="19"/>
      <c r="N2881" s="19"/>
      <c r="O2881" s="19"/>
      <c r="P2881" s="19"/>
      <c r="Q2881" s="19"/>
      <c r="R2881" s="19"/>
    </row>
    <row r="2882" spans="13:18">
      <c r="M2882" s="19"/>
      <c r="N2882" s="19"/>
      <c r="O2882" s="19"/>
      <c r="P2882" s="19"/>
      <c r="Q2882" s="19"/>
      <c r="R2882" s="19"/>
    </row>
    <row r="2883" spans="13:18">
      <c r="M2883" s="19"/>
      <c r="N2883" s="19"/>
      <c r="O2883" s="19"/>
      <c r="P2883" s="19"/>
      <c r="Q2883" s="19"/>
      <c r="R2883" s="19"/>
    </row>
    <row r="2884" spans="13:18">
      <c r="M2884" s="19"/>
      <c r="N2884" s="19"/>
      <c r="O2884" s="19"/>
      <c r="P2884" s="19"/>
      <c r="Q2884" s="19"/>
      <c r="R2884" s="19"/>
    </row>
    <row r="2885" spans="13:18">
      <c r="M2885" s="19"/>
      <c r="N2885" s="19"/>
      <c r="O2885" s="19"/>
      <c r="P2885" s="19"/>
      <c r="Q2885" s="19"/>
      <c r="R2885" s="19"/>
    </row>
    <row r="2886" spans="13:18">
      <c r="M2886" s="19"/>
      <c r="N2886" s="19"/>
      <c r="O2886" s="19"/>
      <c r="P2886" s="19"/>
      <c r="Q2886" s="19"/>
      <c r="R2886" s="19"/>
    </row>
    <row r="2887" spans="13:18">
      <c r="M2887" s="19"/>
      <c r="N2887" s="19"/>
      <c r="O2887" s="19"/>
      <c r="P2887" s="19"/>
      <c r="Q2887" s="19"/>
      <c r="R2887" s="19"/>
    </row>
    <row r="2888" spans="13:18">
      <c r="M2888" s="19"/>
      <c r="N2888" s="19"/>
      <c r="O2888" s="19"/>
      <c r="P2888" s="19"/>
      <c r="Q2888" s="19"/>
      <c r="R2888" s="19"/>
    </row>
    <row r="2889" spans="13:18">
      <c r="M2889" s="19"/>
      <c r="N2889" s="19"/>
      <c r="O2889" s="19"/>
      <c r="P2889" s="19"/>
      <c r="Q2889" s="19"/>
      <c r="R2889" s="19"/>
    </row>
    <row r="2890" spans="13:18">
      <c r="M2890" s="19"/>
      <c r="N2890" s="19"/>
      <c r="O2890" s="19"/>
      <c r="P2890" s="19"/>
      <c r="Q2890" s="19"/>
      <c r="R2890" s="19"/>
    </row>
    <row r="2891" spans="13:18">
      <c r="M2891" s="19"/>
      <c r="N2891" s="19"/>
      <c r="O2891" s="19"/>
      <c r="P2891" s="19"/>
      <c r="Q2891" s="19"/>
      <c r="R2891" s="19"/>
    </row>
    <row r="2892" spans="13:18">
      <c r="M2892" s="19"/>
      <c r="N2892" s="19"/>
      <c r="O2892" s="19"/>
      <c r="P2892" s="19"/>
      <c r="Q2892" s="19"/>
      <c r="R2892" s="19"/>
    </row>
    <row r="2893" spans="13:18">
      <c r="M2893" s="19"/>
      <c r="N2893" s="19"/>
      <c r="O2893" s="19"/>
      <c r="P2893" s="19"/>
      <c r="Q2893" s="19"/>
      <c r="R2893" s="19"/>
    </row>
    <row r="2894" spans="13:18">
      <c r="M2894" s="19"/>
      <c r="N2894" s="19"/>
      <c r="O2894" s="19"/>
      <c r="P2894" s="19"/>
      <c r="Q2894" s="19"/>
      <c r="R2894" s="19"/>
    </row>
    <row r="2895" spans="13:18">
      <c r="M2895" s="19"/>
      <c r="N2895" s="19"/>
      <c r="O2895" s="19"/>
      <c r="P2895" s="19"/>
      <c r="Q2895" s="19"/>
      <c r="R2895" s="19"/>
    </row>
    <row r="2896" spans="13:18">
      <c r="M2896" s="19"/>
      <c r="N2896" s="19"/>
      <c r="O2896" s="19"/>
      <c r="P2896" s="19"/>
      <c r="Q2896" s="19"/>
      <c r="R2896" s="19"/>
    </row>
    <row r="2897" spans="13:18">
      <c r="M2897" s="19"/>
      <c r="N2897" s="19"/>
      <c r="O2897" s="19"/>
      <c r="P2897" s="19"/>
      <c r="Q2897" s="19"/>
      <c r="R2897" s="19"/>
    </row>
    <row r="2898" spans="13:18">
      <c r="M2898" s="19"/>
      <c r="N2898" s="19"/>
      <c r="O2898" s="19"/>
      <c r="P2898" s="19"/>
      <c r="Q2898" s="19"/>
      <c r="R2898" s="19"/>
    </row>
    <row r="2899" spans="13:18">
      <c r="M2899" s="19"/>
      <c r="N2899" s="19"/>
      <c r="O2899" s="19"/>
      <c r="P2899" s="19"/>
      <c r="Q2899" s="19"/>
      <c r="R2899" s="19"/>
    </row>
    <row r="2900" spans="13:18">
      <c r="M2900" s="19"/>
      <c r="N2900" s="19"/>
      <c r="O2900" s="19"/>
      <c r="P2900" s="19"/>
      <c r="Q2900" s="19"/>
      <c r="R2900" s="19"/>
    </row>
    <row r="2901" spans="13:18">
      <c r="M2901" s="19"/>
      <c r="N2901" s="19"/>
      <c r="O2901" s="19"/>
      <c r="P2901" s="19"/>
      <c r="Q2901" s="19"/>
      <c r="R2901" s="19"/>
    </row>
    <row r="2902" spans="13:18">
      <c r="M2902" s="19"/>
      <c r="N2902" s="19"/>
      <c r="O2902" s="19"/>
      <c r="P2902" s="19"/>
      <c r="Q2902" s="19"/>
      <c r="R2902" s="19"/>
    </row>
    <row r="2903" spans="13:18">
      <c r="M2903" s="19"/>
      <c r="N2903" s="19"/>
      <c r="O2903" s="19"/>
      <c r="P2903" s="19"/>
      <c r="Q2903" s="19"/>
      <c r="R2903" s="19"/>
    </row>
    <row r="2904" spans="13:18">
      <c r="M2904" s="19"/>
      <c r="N2904" s="19"/>
      <c r="O2904" s="19"/>
      <c r="P2904" s="19"/>
      <c r="Q2904" s="19"/>
      <c r="R2904" s="19"/>
    </row>
    <row r="2905" spans="13:18">
      <c r="M2905" s="19"/>
      <c r="N2905" s="19"/>
      <c r="O2905" s="19"/>
      <c r="P2905" s="19"/>
      <c r="Q2905" s="19"/>
      <c r="R2905" s="19"/>
    </row>
    <row r="2906" spans="13:18">
      <c r="M2906" s="19"/>
      <c r="N2906" s="19"/>
      <c r="O2906" s="19"/>
      <c r="P2906" s="19"/>
      <c r="Q2906" s="19"/>
      <c r="R2906" s="19"/>
    </row>
    <row r="2907" spans="13:18">
      <c r="M2907" s="19"/>
      <c r="N2907" s="19"/>
      <c r="O2907" s="19"/>
      <c r="P2907" s="19"/>
      <c r="Q2907" s="19"/>
      <c r="R2907" s="19"/>
    </row>
    <row r="2908" spans="13:18">
      <c r="M2908" s="19"/>
      <c r="N2908" s="19"/>
      <c r="O2908" s="19"/>
      <c r="P2908" s="19"/>
      <c r="Q2908" s="19"/>
      <c r="R2908" s="19"/>
    </row>
    <row r="2909" spans="13:18">
      <c r="M2909" s="19"/>
      <c r="N2909" s="19"/>
      <c r="O2909" s="19"/>
      <c r="P2909" s="19"/>
      <c r="Q2909" s="19"/>
      <c r="R2909" s="19"/>
    </row>
    <row r="2910" spans="13:18">
      <c r="M2910" s="19"/>
      <c r="N2910" s="19"/>
      <c r="O2910" s="19"/>
      <c r="P2910" s="19"/>
      <c r="Q2910" s="19"/>
      <c r="R2910" s="19"/>
    </row>
    <row r="2911" spans="13:18">
      <c r="M2911" s="19"/>
      <c r="N2911" s="19"/>
      <c r="O2911" s="19"/>
      <c r="P2911" s="19"/>
      <c r="Q2911" s="19"/>
      <c r="R2911" s="19"/>
    </row>
    <row r="2912" spans="13:18">
      <c r="M2912" s="19"/>
      <c r="N2912" s="19"/>
      <c r="O2912" s="19"/>
      <c r="P2912" s="19"/>
      <c r="Q2912" s="19"/>
      <c r="R2912" s="19"/>
    </row>
    <row r="2913" spans="13:18">
      <c r="M2913" s="19"/>
      <c r="N2913" s="19"/>
      <c r="O2913" s="19"/>
      <c r="P2913" s="19"/>
      <c r="Q2913" s="19"/>
      <c r="R2913" s="19"/>
    </row>
    <row r="2914" spans="13:18">
      <c r="M2914" s="19"/>
      <c r="N2914" s="19"/>
      <c r="O2914" s="19"/>
      <c r="P2914" s="19"/>
      <c r="Q2914" s="19"/>
      <c r="R2914" s="19"/>
    </row>
    <row r="2915" spans="13:18">
      <c r="M2915" s="19"/>
      <c r="N2915" s="19"/>
      <c r="O2915" s="19"/>
      <c r="P2915" s="19"/>
      <c r="Q2915" s="19"/>
      <c r="R2915" s="19"/>
    </row>
    <row r="2916" spans="13:18">
      <c r="M2916" s="19"/>
      <c r="N2916" s="19"/>
      <c r="O2916" s="19"/>
      <c r="P2916" s="19"/>
      <c r="Q2916" s="19"/>
      <c r="R2916" s="19"/>
    </row>
    <row r="2917" spans="13:18">
      <c r="M2917" s="19"/>
      <c r="N2917" s="19"/>
      <c r="O2917" s="19"/>
      <c r="P2917" s="19"/>
      <c r="Q2917" s="19"/>
      <c r="R2917" s="19"/>
    </row>
    <row r="2918" spans="13:18">
      <c r="M2918" s="19"/>
      <c r="N2918" s="19"/>
      <c r="O2918" s="19"/>
      <c r="P2918" s="19"/>
      <c r="Q2918" s="19"/>
      <c r="R2918" s="19"/>
    </row>
    <row r="2919" spans="13:18">
      <c r="M2919" s="19"/>
      <c r="N2919" s="19"/>
      <c r="O2919" s="19"/>
      <c r="P2919" s="19"/>
      <c r="Q2919" s="19"/>
      <c r="R2919" s="19"/>
    </row>
    <row r="2920" spans="13:18">
      <c r="M2920" s="19"/>
      <c r="N2920" s="19"/>
      <c r="O2920" s="19"/>
      <c r="P2920" s="19"/>
      <c r="Q2920" s="19"/>
      <c r="R2920" s="19"/>
    </row>
    <row r="2921" spans="13:18">
      <c r="M2921" s="19"/>
      <c r="N2921" s="19"/>
      <c r="O2921" s="19"/>
      <c r="P2921" s="19"/>
      <c r="Q2921" s="19"/>
      <c r="R2921" s="19"/>
    </row>
    <row r="2922" spans="13:18">
      <c r="M2922" s="19"/>
      <c r="N2922" s="19"/>
      <c r="O2922" s="19"/>
      <c r="P2922" s="19"/>
      <c r="Q2922" s="19"/>
      <c r="R2922" s="19"/>
    </row>
    <row r="2923" spans="13:18">
      <c r="M2923" s="19"/>
      <c r="N2923" s="19"/>
      <c r="O2923" s="19"/>
      <c r="P2923" s="19"/>
      <c r="Q2923" s="19"/>
      <c r="R2923" s="19"/>
    </row>
    <row r="2924" spans="13:18">
      <c r="M2924" s="19"/>
      <c r="N2924" s="19"/>
      <c r="O2924" s="19"/>
      <c r="P2924" s="19"/>
      <c r="Q2924" s="19"/>
      <c r="R2924" s="19"/>
    </row>
    <row r="2925" spans="13:18">
      <c r="M2925" s="19"/>
      <c r="N2925" s="19"/>
      <c r="O2925" s="19"/>
      <c r="P2925" s="19"/>
      <c r="Q2925" s="19"/>
      <c r="R2925" s="19"/>
    </row>
    <row r="2926" spans="13:18">
      <c r="M2926" s="19"/>
      <c r="N2926" s="19"/>
      <c r="O2926" s="19"/>
      <c r="P2926" s="19"/>
      <c r="Q2926" s="19"/>
      <c r="R2926" s="19"/>
    </row>
    <row r="2927" spans="13:18">
      <c r="M2927" s="19"/>
      <c r="N2927" s="19"/>
      <c r="O2927" s="19"/>
      <c r="P2927" s="19"/>
      <c r="Q2927" s="19"/>
      <c r="R2927" s="19"/>
    </row>
    <row r="2928" spans="13:18">
      <c r="M2928" s="19"/>
      <c r="N2928" s="19"/>
      <c r="O2928" s="19"/>
      <c r="P2928" s="19"/>
      <c r="Q2928" s="19"/>
      <c r="R2928" s="19"/>
    </row>
    <row r="2929" spans="13:18">
      <c r="M2929" s="19"/>
      <c r="N2929" s="19"/>
      <c r="O2929" s="19"/>
      <c r="P2929" s="19"/>
      <c r="Q2929" s="19"/>
      <c r="R2929" s="19"/>
    </row>
    <row r="2930" spans="13:18">
      <c r="M2930" s="19"/>
      <c r="N2930" s="19"/>
      <c r="O2930" s="19"/>
      <c r="P2930" s="19"/>
      <c r="Q2930" s="19"/>
      <c r="R2930" s="19"/>
    </row>
    <row r="2931" spans="13:18">
      <c r="M2931" s="19"/>
      <c r="N2931" s="19"/>
      <c r="O2931" s="19"/>
      <c r="P2931" s="19"/>
      <c r="Q2931" s="19"/>
      <c r="R2931" s="19"/>
    </row>
    <row r="2932" spans="13:18">
      <c r="M2932" s="19"/>
      <c r="N2932" s="19"/>
      <c r="O2932" s="19"/>
      <c r="P2932" s="19"/>
      <c r="Q2932" s="19"/>
      <c r="R2932" s="19"/>
    </row>
    <row r="2933" spans="13:18">
      <c r="M2933" s="19"/>
      <c r="N2933" s="19"/>
      <c r="O2933" s="19"/>
      <c r="P2933" s="19"/>
      <c r="Q2933" s="19"/>
      <c r="R2933" s="19"/>
    </row>
    <row r="2934" spans="13:18">
      <c r="M2934" s="19"/>
      <c r="N2934" s="19"/>
      <c r="O2934" s="19"/>
      <c r="P2934" s="19"/>
      <c r="Q2934" s="19"/>
      <c r="R2934" s="19"/>
    </row>
    <row r="2935" spans="13:18">
      <c r="M2935" s="19"/>
      <c r="N2935" s="19"/>
      <c r="O2935" s="19"/>
      <c r="P2935" s="19"/>
      <c r="Q2935" s="19"/>
      <c r="R2935" s="19"/>
    </row>
    <row r="2936" spans="13:18">
      <c r="M2936" s="19"/>
      <c r="N2936" s="19"/>
      <c r="O2936" s="19"/>
      <c r="P2936" s="19"/>
      <c r="Q2936" s="19"/>
      <c r="R2936" s="19"/>
    </row>
    <row r="2937" spans="13:18">
      <c r="M2937" s="19"/>
      <c r="N2937" s="19"/>
      <c r="O2937" s="19"/>
      <c r="P2937" s="19"/>
      <c r="Q2937" s="19"/>
      <c r="R2937" s="19"/>
    </row>
    <row r="2938" spans="13:18">
      <c r="M2938" s="19"/>
      <c r="N2938" s="19"/>
      <c r="O2938" s="19"/>
      <c r="P2938" s="19"/>
      <c r="Q2938" s="19"/>
      <c r="R2938" s="19"/>
    </row>
    <row r="2939" spans="13:18">
      <c r="M2939" s="19"/>
      <c r="N2939" s="19"/>
      <c r="O2939" s="19"/>
      <c r="P2939" s="19"/>
      <c r="Q2939" s="19"/>
      <c r="R2939" s="19"/>
    </row>
    <row r="2940" spans="13:18">
      <c r="M2940" s="19"/>
      <c r="N2940" s="19"/>
      <c r="O2940" s="19"/>
      <c r="P2940" s="19"/>
      <c r="Q2940" s="19"/>
      <c r="R2940" s="19"/>
    </row>
    <row r="2941" spans="13:18">
      <c r="M2941" s="19"/>
      <c r="N2941" s="19"/>
      <c r="O2941" s="19"/>
      <c r="P2941" s="19"/>
      <c r="Q2941" s="19"/>
      <c r="R2941" s="19"/>
    </row>
    <row r="2942" spans="13:18">
      <c r="M2942" s="19"/>
      <c r="N2942" s="19"/>
      <c r="O2942" s="19"/>
      <c r="P2942" s="19"/>
      <c r="Q2942" s="19"/>
      <c r="R2942" s="19"/>
    </row>
    <row r="2943" spans="13:18">
      <c r="M2943" s="19"/>
      <c r="N2943" s="19"/>
      <c r="O2943" s="19"/>
      <c r="P2943" s="19"/>
      <c r="Q2943" s="19"/>
      <c r="R2943" s="19"/>
    </row>
    <row r="2944" spans="13:18">
      <c r="M2944" s="19"/>
      <c r="N2944" s="19"/>
      <c r="O2944" s="19"/>
      <c r="P2944" s="19"/>
      <c r="Q2944" s="19"/>
      <c r="R2944" s="19"/>
    </row>
    <row r="2945" spans="13:18">
      <c r="M2945" s="19"/>
      <c r="N2945" s="19"/>
      <c r="O2945" s="19"/>
      <c r="P2945" s="19"/>
      <c r="Q2945" s="19"/>
      <c r="R2945" s="19"/>
    </row>
    <row r="2946" spans="13:18">
      <c r="M2946" s="19"/>
      <c r="N2946" s="19"/>
      <c r="O2946" s="19"/>
      <c r="P2946" s="19"/>
      <c r="Q2946" s="19"/>
      <c r="R2946" s="19"/>
    </row>
    <row r="2947" spans="13:18">
      <c r="M2947" s="19"/>
      <c r="N2947" s="19"/>
      <c r="O2947" s="19"/>
      <c r="P2947" s="19"/>
      <c r="Q2947" s="19"/>
      <c r="R2947" s="19"/>
    </row>
    <row r="2948" spans="13:18">
      <c r="M2948" s="19"/>
      <c r="N2948" s="19"/>
      <c r="O2948" s="19"/>
      <c r="P2948" s="19"/>
      <c r="Q2948" s="19"/>
      <c r="R2948" s="19"/>
    </row>
    <row r="2949" spans="13:18">
      <c r="M2949" s="19"/>
      <c r="N2949" s="19"/>
      <c r="O2949" s="19"/>
      <c r="P2949" s="19"/>
      <c r="Q2949" s="19"/>
      <c r="R2949" s="19"/>
    </row>
    <row r="2950" spans="13:18">
      <c r="M2950" s="19"/>
      <c r="N2950" s="19"/>
      <c r="O2950" s="19"/>
      <c r="P2950" s="19"/>
      <c r="Q2950" s="19"/>
      <c r="R2950" s="19"/>
    </row>
    <row r="2951" spans="13:18">
      <c r="M2951" s="19"/>
      <c r="N2951" s="19"/>
      <c r="O2951" s="19"/>
      <c r="P2951" s="19"/>
      <c r="Q2951" s="19"/>
      <c r="R2951" s="19"/>
    </row>
    <row r="2952" spans="13:18">
      <c r="M2952" s="19"/>
      <c r="N2952" s="19"/>
      <c r="O2952" s="19"/>
      <c r="P2952" s="19"/>
      <c r="Q2952" s="19"/>
      <c r="R2952" s="19"/>
    </row>
    <row r="2953" spans="13:18">
      <c r="M2953" s="19"/>
      <c r="N2953" s="19"/>
      <c r="O2953" s="19"/>
      <c r="P2953" s="19"/>
      <c r="Q2953" s="19"/>
      <c r="R2953" s="19"/>
    </row>
    <row r="2954" spans="13:18">
      <c r="M2954" s="19"/>
      <c r="N2954" s="19"/>
      <c r="O2954" s="19"/>
      <c r="P2954" s="19"/>
      <c r="Q2954" s="19"/>
      <c r="R2954" s="19"/>
    </row>
    <row r="2955" spans="13:18">
      <c r="M2955" s="19"/>
      <c r="N2955" s="19"/>
      <c r="O2955" s="19"/>
      <c r="P2955" s="19"/>
      <c r="Q2955" s="19"/>
      <c r="R2955" s="19"/>
    </row>
    <row r="2956" spans="13:18">
      <c r="M2956" s="19"/>
      <c r="N2956" s="19"/>
      <c r="O2956" s="19"/>
      <c r="P2956" s="19"/>
      <c r="Q2956" s="19"/>
      <c r="R2956" s="19"/>
    </row>
    <row r="2957" spans="13:18">
      <c r="M2957" s="19"/>
      <c r="N2957" s="19"/>
      <c r="O2957" s="19"/>
      <c r="P2957" s="19"/>
      <c r="Q2957" s="19"/>
      <c r="R2957" s="19"/>
    </row>
    <row r="2958" spans="13:18">
      <c r="M2958" s="19"/>
      <c r="N2958" s="19"/>
      <c r="O2958" s="19"/>
      <c r="P2958" s="19"/>
      <c r="Q2958" s="19"/>
      <c r="R2958" s="19"/>
    </row>
    <row r="2959" spans="13:18">
      <c r="M2959" s="19"/>
      <c r="N2959" s="19"/>
      <c r="O2959" s="19"/>
      <c r="P2959" s="19"/>
      <c r="Q2959" s="19"/>
      <c r="R2959" s="19"/>
    </row>
    <row r="2960" spans="13:18">
      <c r="M2960" s="19"/>
      <c r="N2960" s="19"/>
      <c r="O2960" s="19"/>
      <c r="P2960" s="19"/>
      <c r="Q2960" s="19"/>
      <c r="R2960" s="19"/>
    </row>
    <row r="2961" spans="13:18">
      <c r="M2961" s="19"/>
      <c r="N2961" s="19"/>
      <c r="O2961" s="19"/>
      <c r="P2961" s="19"/>
      <c r="Q2961" s="19"/>
      <c r="R2961" s="19"/>
    </row>
    <row r="2962" spans="13:18">
      <c r="M2962" s="19"/>
      <c r="N2962" s="19"/>
      <c r="O2962" s="19"/>
      <c r="P2962" s="19"/>
      <c r="Q2962" s="19"/>
      <c r="R2962" s="19"/>
    </row>
    <row r="2963" spans="13:18">
      <c r="M2963" s="19"/>
      <c r="N2963" s="19"/>
      <c r="O2963" s="19"/>
      <c r="P2963" s="19"/>
      <c r="Q2963" s="19"/>
      <c r="R2963" s="19"/>
    </row>
    <row r="2964" spans="13:18">
      <c r="M2964" s="19"/>
      <c r="N2964" s="19"/>
      <c r="O2964" s="19"/>
      <c r="P2964" s="19"/>
      <c r="Q2964" s="19"/>
      <c r="R2964" s="19"/>
    </row>
    <row r="2965" spans="13:18">
      <c r="M2965" s="19"/>
      <c r="N2965" s="19"/>
      <c r="O2965" s="19"/>
      <c r="P2965" s="19"/>
      <c r="Q2965" s="19"/>
      <c r="R2965" s="19"/>
    </row>
    <row r="2966" spans="13:18">
      <c r="M2966" s="19"/>
      <c r="N2966" s="19"/>
      <c r="O2966" s="19"/>
      <c r="P2966" s="19"/>
      <c r="Q2966" s="19"/>
      <c r="R2966" s="19"/>
    </row>
    <row r="2967" spans="13:18">
      <c r="M2967" s="19"/>
      <c r="N2967" s="19"/>
      <c r="O2967" s="19"/>
      <c r="P2967" s="19"/>
      <c r="Q2967" s="19"/>
      <c r="R2967" s="19"/>
    </row>
    <row r="2968" spans="13:18">
      <c r="M2968" s="19"/>
      <c r="N2968" s="19"/>
      <c r="O2968" s="19"/>
      <c r="P2968" s="19"/>
      <c r="Q2968" s="19"/>
      <c r="R2968" s="19"/>
    </row>
    <row r="2969" spans="13:18">
      <c r="M2969" s="19"/>
      <c r="N2969" s="19"/>
      <c r="O2969" s="19"/>
      <c r="P2969" s="19"/>
      <c r="Q2969" s="19"/>
      <c r="R2969" s="19"/>
    </row>
    <row r="2970" spans="13:18">
      <c r="M2970" s="19"/>
      <c r="N2970" s="19"/>
      <c r="O2970" s="19"/>
      <c r="P2970" s="19"/>
      <c r="Q2970" s="19"/>
      <c r="R2970" s="19"/>
    </row>
    <row r="2971" spans="13:18">
      <c r="M2971" s="19"/>
      <c r="N2971" s="19"/>
      <c r="O2971" s="19"/>
      <c r="P2971" s="19"/>
      <c r="Q2971" s="19"/>
      <c r="R2971" s="19"/>
    </row>
    <row r="2972" spans="13:18">
      <c r="M2972" s="19"/>
      <c r="N2972" s="19"/>
      <c r="O2972" s="19"/>
      <c r="P2972" s="19"/>
      <c r="Q2972" s="19"/>
      <c r="R2972" s="19"/>
    </row>
    <row r="2973" spans="13:18">
      <c r="M2973" s="19"/>
      <c r="N2973" s="19"/>
      <c r="O2973" s="19"/>
      <c r="P2973" s="19"/>
      <c r="Q2973" s="19"/>
      <c r="R2973" s="19"/>
    </row>
    <row r="2974" spans="13:18">
      <c r="M2974" s="19"/>
      <c r="N2974" s="19"/>
      <c r="O2974" s="19"/>
      <c r="P2974" s="19"/>
      <c r="Q2974" s="19"/>
      <c r="R2974" s="19"/>
    </row>
    <row r="2975" spans="13:18">
      <c r="M2975" s="19"/>
      <c r="N2975" s="19"/>
      <c r="O2975" s="19"/>
      <c r="P2975" s="19"/>
      <c r="Q2975" s="19"/>
      <c r="R2975" s="19"/>
    </row>
    <row r="2976" spans="13:18">
      <c r="M2976" s="19"/>
      <c r="N2976" s="19"/>
      <c r="O2976" s="19"/>
      <c r="P2976" s="19"/>
      <c r="Q2976" s="19"/>
      <c r="R2976" s="19"/>
    </row>
    <row r="2977" spans="13:18">
      <c r="M2977" s="19"/>
      <c r="N2977" s="19"/>
      <c r="O2977" s="19"/>
      <c r="P2977" s="19"/>
      <c r="Q2977" s="19"/>
      <c r="R2977" s="19"/>
    </row>
    <row r="2978" spans="13:18">
      <c r="M2978" s="19"/>
      <c r="N2978" s="19"/>
      <c r="O2978" s="19"/>
      <c r="P2978" s="19"/>
      <c r="Q2978" s="19"/>
      <c r="R2978" s="19"/>
    </row>
    <row r="2979" spans="13:18">
      <c r="M2979" s="19"/>
      <c r="N2979" s="19"/>
      <c r="O2979" s="19"/>
      <c r="P2979" s="19"/>
      <c r="Q2979" s="19"/>
      <c r="R2979" s="19"/>
    </row>
    <row r="2980" spans="13:18">
      <c r="M2980" s="19"/>
      <c r="N2980" s="19"/>
      <c r="O2980" s="19"/>
      <c r="P2980" s="19"/>
      <c r="Q2980" s="19"/>
      <c r="R2980" s="19"/>
    </row>
    <row r="2981" spans="13:18">
      <c r="M2981" s="19"/>
      <c r="N2981" s="19"/>
      <c r="O2981" s="19"/>
      <c r="P2981" s="19"/>
      <c r="Q2981" s="19"/>
      <c r="R2981" s="19"/>
    </row>
    <row r="2982" spans="13:18">
      <c r="M2982" s="19"/>
      <c r="N2982" s="19"/>
      <c r="O2982" s="19"/>
      <c r="P2982" s="19"/>
      <c r="Q2982" s="19"/>
      <c r="R2982" s="19"/>
    </row>
    <row r="2983" spans="13:18">
      <c r="M2983" s="19"/>
      <c r="N2983" s="19"/>
      <c r="O2983" s="19"/>
      <c r="P2983" s="19"/>
      <c r="Q2983" s="19"/>
      <c r="R2983" s="19"/>
    </row>
    <row r="2984" spans="13:18">
      <c r="M2984" s="19"/>
      <c r="N2984" s="19"/>
      <c r="O2984" s="19"/>
      <c r="P2984" s="19"/>
      <c r="Q2984" s="19"/>
      <c r="R2984" s="19"/>
    </row>
    <row r="2985" spans="13:18">
      <c r="M2985" s="19"/>
      <c r="N2985" s="19"/>
      <c r="O2985" s="19"/>
      <c r="P2985" s="19"/>
      <c r="Q2985" s="19"/>
      <c r="R2985" s="19"/>
    </row>
    <row r="2986" spans="13:18">
      <c r="M2986" s="19"/>
      <c r="N2986" s="19"/>
      <c r="O2986" s="19"/>
      <c r="P2986" s="19"/>
      <c r="Q2986" s="19"/>
      <c r="R2986" s="19"/>
    </row>
    <row r="2987" spans="13:18">
      <c r="M2987" s="19"/>
      <c r="N2987" s="19"/>
      <c r="O2987" s="19"/>
      <c r="P2987" s="19"/>
      <c r="Q2987" s="19"/>
      <c r="R2987" s="19"/>
    </row>
    <row r="2988" spans="13:18">
      <c r="M2988" s="19"/>
      <c r="N2988" s="19"/>
      <c r="O2988" s="19"/>
      <c r="P2988" s="19"/>
      <c r="Q2988" s="19"/>
      <c r="R2988" s="19"/>
    </row>
    <row r="2989" spans="13:18">
      <c r="M2989" s="19"/>
      <c r="N2989" s="19"/>
      <c r="O2989" s="19"/>
      <c r="P2989" s="19"/>
      <c r="Q2989" s="19"/>
      <c r="R2989" s="19"/>
    </row>
    <row r="2990" spans="13:18">
      <c r="M2990" s="19"/>
      <c r="N2990" s="19"/>
      <c r="O2990" s="19"/>
      <c r="P2990" s="19"/>
      <c r="Q2990" s="19"/>
      <c r="R2990" s="19"/>
    </row>
    <row r="2991" spans="13:18">
      <c r="M2991" s="19"/>
      <c r="N2991" s="19"/>
      <c r="O2991" s="19"/>
      <c r="P2991" s="19"/>
      <c r="Q2991" s="19"/>
      <c r="R2991" s="19"/>
    </row>
    <row r="2992" spans="13:18">
      <c r="M2992" s="19"/>
      <c r="N2992" s="19"/>
      <c r="O2992" s="19"/>
      <c r="P2992" s="19"/>
      <c r="Q2992" s="19"/>
      <c r="R2992" s="19"/>
    </row>
    <row r="2993" spans="13:18">
      <c r="M2993" s="19"/>
      <c r="N2993" s="19"/>
      <c r="O2993" s="19"/>
      <c r="P2993" s="19"/>
      <c r="Q2993" s="19"/>
      <c r="R2993" s="19"/>
    </row>
    <row r="2994" spans="13:18">
      <c r="M2994" s="19"/>
      <c r="N2994" s="19"/>
      <c r="O2994" s="19"/>
      <c r="P2994" s="19"/>
      <c r="Q2994" s="19"/>
      <c r="R2994" s="19"/>
    </row>
    <row r="2995" spans="13:18">
      <c r="M2995" s="19"/>
      <c r="N2995" s="19"/>
      <c r="O2995" s="19"/>
      <c r="P2995" s="19"/>
      <c r="Q2995" s="19"/>
      <c r="R2995" s="19"/>
    </row>
    <row r="2996" spans="13:18">
      <c r="M2996" s="19"/>
      <c r="N2996" s="19"/>
      <c r="O2996" s="19"/>
      <c r="P2996" s="19"/>
      <c r="Q2996" s="19"/>
      <c r="R2996" s="19"/>
    </row>
    <row r="2997" spans="13:18">
      <c r="M2997" s="19"/>
      <c r="N2997" s="19"/>
      <c r="O2997" s="19"/>
      <c r="P2997" s="19"/>
      <c r="Q2997" s="19"/>
      <c r="R2997" s="19"/>
    </row>
    <row r="2998" spans="13:18">
      <c r="M2998" s="19"/>
      <c r="N2998" s="19"/>
      <c r="O2998" s="19"/>
      <c r="P2998" s="19"/>
      <c r="Q2998" s="19"/>
      <c r="R2998" s="19"/>
    </row>
    <row r="2999" spans="13:18">
      <c r="M2999" s="19"/>
      <c r="N2999" s="19"/>
      <c r="O2999" s="19"/>
      <c r="P2999" s="19"/>
      <c r="Q2999" s="19"/>
      <c r="R2999" s="19"/>
    </row>
    <row r="3000" spans="13:18">
      <c r="M3000" s="19"/>
      <c r="N3000" s="19"/>
      <c r="O3000" s="19"/>
      <c r="P3000" s="19"/>
      <c r="Q3000" s="19"/>
      <c r="R3000" s="19"/>
    </row>
    <row r="3001" spans="13:18">
      <c r="M3001" s="19"/>
      <c r="N3001" s="19"/>
      <c r="O3001" s="19"/>
      <c r="P3001" s="19"/>
      <c r="Q3001" s="19"/>
      <c r="R3001" s="19"/>
    </row>
    <row r="3002" spans="13:18">
      <c r="M3002" s="19"/>
      <c r="N3002" s="19"/>
      <c r="O3002" s="19"/>
      <c r="P3002" s="19"/>
      <c r="Q3002" s="19"/>
      <c r="R3002" s="19"/>
    </row>
    <row r="3003" spans="13:18">
      <c r="M3003" s="19"/>
      <c r="N3003" s="19"/>
      <c r="O3003" s="19"/>
      <c r="P3003" s="19"/>
      <c r="Q3003" s="19"/>
      <c r="R3003" s="19"/>
    </row>
    <row r="3004" spans="13:18">
      <c r="M3004" s="19"/>
      <c r="N3004" s="19"/>
      <c r="O3004" s="19"/>
      <c r="P3004" s="19"/>
      <c r="Q3004" s="19"/>
      <c r="R3004" s="19"/>
    </row>
    <row r="3005" spans="13:18">
      <c r="M3005" s="19"/>
      <c r="N3005" s="19"/>
      <c r="O3005" s="19"/>
      <c r="P3005" s="19"/>
      <c r="Q3005" s="19"/>
      <c r="R3005" s="19"/>
    </row>
    <row r="3006" spans="13:18">
      <c r="M3006" s="19"/>
      <c r="N3006" s="19"/>
      <c r="O3006" s="19"/>
      <c r="P3006" s="19"/>
      <c r="Q3006" s="19"/>
      <c r="R3006" s="19"/>
    </row>
    <row r="3007" spans="13:18">
      <c r="M3007" s="19"/>
      <c r="N3007" s="19"/>
      <c r="O3007" s="19"/>
      <c r="P3007" s="19"/>
      <c r="Q3007" s="19"/>
      <c r="R3007" s="19"/>
    </row>
    <row r="3008" spans="13:18">
      <c r="M3008" s="19"/>
      <c r="N3008" s="19"/>
      <c r="O3008" s="19"/>
      <c r="P3008" s="19"/>
      <c r="Q3008" s="19"/>
      <c r="R3008" s="19"/>
    </row>
    <row r="3009" spans="13:18">
      <c r="M3009" s="19"/>
      <c r="N3009" s="19"/>
      <c r="O3009" s="19"/>
      <c r="P3009" s="19"/>
      <c r="Q3009" s="19"/>
      <c r="R3009" s="19"/>
    </row>
    <row r="3010" spans="13:18">
      <c r="M3010" s="19"/>
      <c r="N3010" s="19"/>
      <c r="O3010" s="19"/>
      <c r="P3010" s="19"/>
      <c r="Q3010" s="19"/>
      <c r="R3010" s="19"/>
    </row>
    <row r="3011" spans="13:18">
      <c r="M3011" s="19"/>
      <c r="N3011" s="19"/>
      <c r="O3011" s="19"/>
      <c r="P3011" s="19"/>
      <c r="Q3011" s="19"/>
      <c r="R3011" s="19"/>
    </row>
    <row r="3012" spans="13:18">
      <c r="M3012" s="19"/>
      <c r="N3012" s="19"/>
      <c r="O3012" s="19"/>
      <c r="P3012" s="19"/>
      <c r="Q3012" s="19"/>
      <c r="R3012" s="19"/>
    </row>
    <row r="3013" spans="13:18">
      <c r="M3013" s="19"/>
      <c r="N3013" s="19"/>
      <c r="O3013" s="19"/>
      <c r="P3013" s="19"/>
      <c r="Q3013" s="19"/>
      <c r="R3013" s="19"/>
    </row>
    <row r="3014" spans="13:18">
      <c r="M3014" s="19"/>
      <c r="N3014" s="19"/>
      <c r="O3014" s="19"/>
      <c r="P3014" s="19"/>
      <c r="Q3014" s="19"/>
      <c r="R3014" s="19"/>
    </row>
    <row r="3015" spans="13:18">
      <c r="M3015" s="19"/>
      <c r="N3015" s="19"/>
      <c r="O3015" s="19"/>
      <c r="P3015" s="19"/>
      <c r="Q3015" s="19"/>
      <c r="R3015" s="19"/>
    </row>
    <row r="3016" spans="13:18">
      <c r="M3016" s="19"/>
      <c r="N3016" s="19"/>
      <c r="O3016" s="19"/>
      <c r="P3016" s="19"/>
      <c r="Q3016" s="19"/>
      <c r="R3016" s="19"/>
    </row>
    <row r="3017" spans="13:18">
      <c r="M3017" s="19"/>
      <c r="N3017" s="19"/>
      <c r="O3017" s="19"/>
      <c r="P3017" s="19"/>
      <c r="Q3017" s="19"/>
      <c r="R3017" s="19"/>
    </row>
    <row r="3018" spans="13:18">
      <c r="M3018" s="19"/>
      <c r="N3018" s="19"/>
      <c r="O3018" s="19"/>
      <c r="P3018" s="19"/>
      <c r="Q3018" s="19"/>
      <c r="R3018" s="19"/>
    </row>
    <row r="3019" spans="13:18">
      <c r="M3019" s="19"/>
      <c r="N3019" s="19"/>
      <c r="O3019" s="19"/>
      <c r="P3019" s="19"/>
      <c r="Q3019" s="19"/>
      <c r="R3019" s="19"/>
    </row>
    <row r="3020" spans="13:18">
      <c r="M3020" s="19"/>
      <c r="N3020" s="19"/>
      <c r="O3020" s="19"/>
      <c r="P3020" s="19"/>
      <c r="Q3020" s="19"/>
      <c r="R3020" s="19"/>
    </row>
    <row r="3021" spans="13:18">
      <c r="M3021" s="19"/>
      <c r="N3021" s="19"/>
      <c r="O3021" s="19"/>
      <c r="P3021" s="19"/>
      <c r="Q3021" s="19"/>
      <c r="R3021" s="19"/>
    </row>
    <row r="3022" spans="13:18">
      <c r="M3022" s="19"/>
      <c r="N3022" s="19"/>
      <c r="O3022" s="19"/>
      <c r="P3022" s="19"/>
      <c r="Q3022" s="19"/>
      <c r="R3022" s="19"/>
    </row>
    <row r="3023" spans="13:18">
      <c r="M3023" s="19"/>
      <c r="N3023" s="19"/>
      <c r="O3023" s="19"/>
      <c r="P3023" s="19"/>
      <c r="Q3023" s="19"/>
      <c r="R3023" s="19"/>
    </row>
    <row r="3024" spans="13:18">
      <c r="M3024" s="19"/>
      <c r="N3024" s="19"/>
      <c r="O3024" s="19"/>
      <c r="P3024" s="19"/>
      <c r="Q3024" s="19"/>
      <c r="R3024" s="19"/>
    </row>
    <row r="3025" spans="13:18">
      <c r="M3025" s="19"/>
      <c r="N3025" s="19"/>
      <c r="O3025" s="19"/>
      <c r="P3025" s="19"/>
      <c r="Q3025" s="19"/>
      <c r="R3025" s="19"/>
    </row>
    <row r="3026" spans="13:18">
      <c r="M3026" s="19"/>
      <c r="N3026" s="19"/>
      <c r="O3026" s="19"/>
      <c r="P3026" s="19"/>
      <c r="Q3026" s="19"/>
      <c r="R3026" s="19"/>
    </row>
    <row r="3027" spans="13:18">
      <c r="M3027" s="19"/>
      <c r="N3027" s="19"/>
      <c r="O3027" s="19"/>
      <c r="P3027" s="19"/>
      <c r="Q3027" s="19"/>
      <c r="R3027" s="19"/>
    </row>
    <row r="3028" spans="13:18">
      <c r="M3028" s="19"/>
      <c r="N3028" s="19"/>
      <c r="O3028" s="19"/>
      <c r="P3028" s="19"/>
      <c r="Q3028" s="19"/>
      <c r="R3028" s="19"/>
    </row>
    <row r="3029" spans="13:18">
      <c r="M3029" s="19"/>
      <c r="N3029" s="19"/>
      <c r="O3029" s="19"/>
      <c r="P3029" s="19"/>
      <c r="Q3029" s="19"/>
      <c r="R3029" s="19"/>
    </row>
    <row r="3030" spans="13:18">
      <c r="M3030" s="19"/>
      <c r="N3030" s="19"/>
      <c r="O3030" s="19"/>
      <c r="P3030" s="19"/>
      <c r="Q3030" s="19"/>
      <c r="R3030" s="19"/>
    </row>
    <row r="3031" spans="13:18">
      <c r="M3031" s="19"/>
      <c r="N3031" s="19"/>
      <c r="O3031" s="19"/>
      <c r="P3031" s="19"/>
      <c r="Q3031" s="19"/>
      <c r="R3031" s="19"/>
    </row>
    <row r="3032" spans="13:18">
      <c r="M3032" s="19"/>
      <c r="N3032" s="19"/>
      <c r="O3032" s="19"/>
      <c r="P3032" s="19"/>
      <c r="Q3032" s="19"/>
      <c r="R3032" s="19"/>
    </row>
    <row r="3033" spans="13:18">
      <c r="M3033" s="19"/>
      <c r="N3033" s="19"/>
      <c r="O3033" s="19"/>
      <c r="P3033" s="19"/>
      <c r="Q3033" s="19"/>
      <c r="R3033" s="19"/>
    </row>
    <row r="3034" spans="13:18">
      <c r="M3034" s="19"/>
      <c r="N3034" s="19"/>
      <c r="O3034" s="19"/>
      <c r="P3034" s="19"/>
      <c r="Q3034" s="19"/>
      <c r="R3034" s="19"/>
    </row>
    <row r="3035" spans="13:18">
      <c r="M3035" s="19"/>
      <c r="N3035" s="19"/>
      <c r="O3035" s="19"/>
      <c r="P3035" s="19"/>
      <c r="Q3035" s="19"/>
      <c r="R3035" s="19"/>
    </row>
    <row r="3036" spans="13:18">
      <c r="M3036" s="19"/>
      <c r="N3036" s="19"/>
      <c r="O3036" s="19"/>
      <c r="P3036" s="19"/>
      <c r="Q3036" s="19"/>
      <c r="R3036" s="19"/>
    </row>
    <row r="3037" spans="13:18">
      <c r="M3037" s="19"/>
      <c r="N3037" s="19"/>
      <c r="O3037" s="19"/>
      <c r="P3037" s="19"/>
      <c r="Q3037" s="19"/>
      <c r="R3037" s="19"/>
    </row>
    <row r="3038" spans="13:18">
      <c r="M3038" s="19"/>
      <c r="N3038" s="19"/>
      <c r="O3038" s="19"/>
      <c r="P3038" s="19"/>
      <c r="Q3038" s="19"/>
      <c r="R3038" s="19"/>
    </row>
    <row r="3039" spans="13:18">
      <c r="M3039" s="19"/>
      <c r="N3039" s="19"/>
      <c r="O3039" s="19"/>
      <c r="P3039" s="19"/>
      <c r="Q3039" s="19"/>
      <c r="R3039" s="19"/>
    </row>
    <row r="3040" spans="13:18">
      <c r="M3040" s="19"/>
      <c r="N3040" s="19"/>
      <c r="O3040" s="19"/>
      <c r="P3040" s="19"/>
      <c r="Q3040" s="19"/>
      <c r="R3040" s="19"/>
    </row>
    <row r="3041" spans="13:18">
      <c r="M3041" s="19"/>
      <c r="N3041" s="19"/>
      <c r="O3041" s="19"/>
      <c r="P3041" s="19"/>
      <c r="Q3041" s="19"/>
      <c r="R3041" s="19"/>
    </row>
    <row r="3042" spans="13:18">
      <c r="M3042" s="19"/>
      <c r="N3042" s="19"/>
      <c r="O3042" s="19"/>
      <c r="P3042" s="19"/>
      <c r="Q3042" s="19"/>
      <c r="R3042" s="19"/>
    </row>
    <row r="3043" spans="13:18">
      <c r="M3043" s="19"/>
      <c r="N3043" s="19"/>
      <c r="O3043" s="19"/>
      <c r="P3043" s="19"/>
      <c r="Q3043" s="19"/>
      <c r="R3043" s="19"/>
    </row>
    <row r="3044" spans="13:18">
      <c r="M3044" s="19"/>
      <c r="N3044" s="19"/>
      <c r="O3044" s="19"/>
      <c r="P3044" s="19"/>
      <c r="Q3044" s="19"/>
      <c r="R3044" s="19"/>
    </row>
    <row r="3045" spans="13:18">
      <c r="M3045" s="19"/>
      <c r="N3045" s="19"/>
      <c r="O3045" s="19"/>
      <c r="P3045" s="19"/>
      <c r="Q3045" s="19"/>
      <c r="R3045" s="19"/>
    </row>
    <row r="3046" spans="13:18">
      <c r="M3046" s="19"/>
      <c r="N3046" s="19"/>
      <c r="O3046" s="19"/>
      <c r="P3046" s="19"/>
      <c r="Q3046" s="19"/>
      <c r="R3046" s="19"/>
    </row>
    <row r="3047" spans="13:18">
      <c r="M3047" s="19"/>
      <c r="N3047" s="19"/>
      <c r="O3047" s="19"/>
      <c r="P3047" s="19"/>
      <c r="Q3047" s="19"/>
      <c r="R3047" s="19"/>
    </row>
    <row r="3048" spans="13:18">
      <c r="M3048" s="19"/>
      <c r="N3048" s="19"/>
      <c r="O3048" s="19"/>
      <c r="P3048" s="19"/>
      <c r="Q3048" s="19"/>
      <c r="R3048" s="19"/>
    </row>
    <row r="3049" spans="13:18">
      <c r="M3049" s="19"/>
      <c r="N3049" s="19"/>
      <c r="O3049" s="19"/>
      <c r="P3049" s="19"/>
      <c r="Q3049" s="19"/>
      <c r="R3049" s="19"/>
    </row>
    <row r="3050" spans="13:18">
      <c r="M3050" s="19"/>
      <c r="N3050" s="19"/>
      <c r="O3050" s="19"/>
      <c r="P3050" s="19"/>
      <c r="Q3050" s="19"/>
      <c r="R3050" s="19"/>
    </row>
    <row r="3051" spans="13:18">
      <c r="M3051" s="19"/>
      <c r="N3051" s="19"/>
      <c r="O3051" s="19"/>
      <c r="P3051" s="19"/>
      <c r="Q3051" s="19"/>
      <c r="R3051" s="19"/>
    </row>
    <row r="3052" spans="13:18">
      <c r="M3052" s="19"/>
      <c r="N3052" s="19"/>
      <c r="O3052" s="19"/>
      <c r="P3052" s="19"/>
      <c r="Q3052" s="19"/>
      <c r="R3052" s="19"/>
    </row>
    <row r="3053" spans="13:18">
      <c r="M3053" s="19"/>
      <c r="N3053" s="19"/>
      <c r="O3053" s="19"/>
      <c r="P3053" s="19"/>
      <c r="Q3053" s="19"/>
      <c r="R3053" s="19"/>
    </row>
    <row r="3054" spans="13:18">
      <c r="M3054" s="19"/>
      <c r="N3054" s="19"/>
      <c r="O3054" s="19"/>
      <c r="P3054" s="19"/>
      <c r="Q3054" s="19"/>
      <c r="R3054" s="19"/>
    </row>
    <row r="3055" spans="13:18">
      <c r="M3055" s="19"/>
      <c r="N3055" s="19"/>
      <c r="O3055" s="19"/>
      <c r="P3055" s="19"/>
      <c r="Q3055" s="19"/>
      <c r="R3055" s="19"/>
    </row>
    <row r="3056" spans="13:18">
      <c r="M3056" s="19"/>
      <c r="N3056" s="19"/>
      <c r="O3056" s="19"/>
      <c r="P3056" s="19"/>
      <c r="Q3056" s="19"/>
      <c r="R3056" s="19"/>
    </row>
    <row r="3057" spans="13:18">
      <c r="M3057" s="19"/>
      <c r="N3057" s="19"/>
      <c r="O3057" s="19"/>
      <c r="P3057" s="19"/>
      <c r="Q3057" s="19"/>
      <c r="R3057" s="19"/>
    </row>
    <row r="3058" spans="13:18">
      <c r="M3058" s="19"/>
      <c r="N3058" s="19"/>
      <c r="O3058" s="19"/>
      <c r="P3058" s="19"/>
      <c r="Q3058" s="19"/>
      <c r="R3058" s="19"/>
    </row>
    <row r="3059" spans="13:18">
      <c r="M3059" s="19"/>
      <c r="N3059" s="19"/>
      <c r="O3059" s="19"/>
      <c r="P3059" s="19"/>
      <c r="Q3059" s="19"/>
      <c r="R3059" s="19"/>
    </row>
    <row r="3060" spans="13:18">
      <c r="M3060" s="19"/>
      <c r="N3060" s="19"/>
      <c r="O3060" s="19"/>
      <c r="P3060" s="19"/>
      <c r="Q3060" s="19"/>
      <c r="R3060" s="19"/>
    </row>
    <row r="3061" spans="13:18">
      <c r="M3061" s="19"/>
      <c r="N3061" s="19"/>
      <c r="O3061" s="19"/>
      <c r="P3061" s="19"/>
      <c r="Q3061" s="19"/>
      <c r="R3061" s="19"/>
    </row>
    <row r="3062" spans="13:18">
      <c r="M3062" s="19"/>
      <c r="N3062" s="19"/>
      <c r="O3062" s="19"/>
      <c r="P3062" s="19"/>
      <c r="Q3062" s="19"/>
      <c r="R3062" s="19"/>
    </row>
    <row r="3063" spans="13:18">
      <c r="M3063" s="19"/>
      <c r="N3063" s="19"/>
      <c r="O3063" s="19"/>
      <c r="P3063" s="19"/>
      <c r="Q3063" s="19"/>
      <c r="R3063" s="19"/>
    </row>
    <row r="3064" spans="13:18">
      <c r="M3064" s="19"/>
      <c r="N3064" s="19"/>
      <c r="O3064" s="19"/>
      <c r="P3064" s="19"/>
      <c r="Q3064" s="19"/>
      <c r="R3064" s="19"/>
    </row>
    <row r="3065" spans="13:18">
      <c r="M3065" s="19"/>
      <c r="N3065" s="19"/>
      <c r="O3065" s="19"/>
      <c r="P3065" s="19"/>
      <c r="Q3065" s="19"/>
      <c r="R3065" s="19"/>
    </row>
    <row r="3066" spans="13:18">
      <c r="M3066" s="19"/>
      <c r="N3066" s="19"/>
      <c r="O3066" s="19"/>
      <c r="P3066" s="19"/>
      <c r="Q3066" s="19"/>
      <c r="R3066" s="19"/>
    </row>
    <row r="3067" spans="13:18">
      <c r="M3067" s="19"/>
      <c r="N3067" s="19"/>
      <c r="O3067" s="19"/>
      <c r="P3067" s="19"/>
      <c r="Q3067" s="19"/>
      <c r="R3067" s="19"/>
    </row>
    <row r="3068" spans="13:18">
      <c r="M3068" s="19"/>
      <c r="N3068" s="19"/>
      <c r="O3068" s="19"/>
      <c r="P3068" s="19"/>
      <c r="Q3068" s="19"/>
      <c r="R3068" s="19"/>
    </row>
    <row r="3069" spans="13:18">
      <c r="M3069" s="19"/>
      <c r="N3069" s="19"/>
      <c r="O3069" s="19"/>
      <c r="P3069" s="19"/>
      <c r="Q3069" s="19"/>
      <c r="R3069" s="19"/>
    </row>
    <row r="3070" spans="13:18">
      <c r="M3070" s="19"/>
      <c r="N3070" s="19"/>
      <c r="O3070" s="19"/>
      <c r="P3070" s="19"/>
      <c r="Q3070" s="19"/>
      <c r="R3070" s="19"/>
    </row>
    <row r="3071" spans="13:18">
      <c r="M3071" s="19"/>
      <c r="N3071" s="19"/>
      <c r="O3071" s="19"/>
      <c r="P3071" s="19"/>
      <c r="Q3071" s="19"/>
      <c r="R3071" s="19"/>
    </row>
    <row r="3072" spans="13:18">
      <c r="M3072" s="19"/>
      <c r="N3072" s="19"/>
      <c r="O3072" s="19"/>
      <c r="P3072" s="19"/>
      <c r="Q3072" s="19"/>
      <c r="R3072" s="19"/>
    </row>
    <row r="3073" spans="13:18">
      <c r="M3073" s="19"/>
      <c r="N3073" s="19"/>
      <c r="O3073" s="19"/>
      <c r="P3073" s="19"/>
      <c r="Q3073" s="19"/>
      <c r="R3073" s="19"/>
    </row>
    <row r="3074" spans="13:18">
      <c r="M3074" s="19"/>
      <c r="N3074" s="19"/>
      <c r="O3074" s="19"/>
      <c r="P3074" s="19"/>
      <c r="Q3074" s="19"/>
      <c r="R3074" s="19"/>
    </row>
    <row r="3075" spans="13:18">
      <c r="M3075" s="19"/>
      <c r="N3075" s="19"/>
      <c r="O3075" s="19"/>
      <c r="P3075" s="19"/>
      <c r="Q3075" s="19"/>
      <c r="R3075" s="19"/>
    </row>
    <row r="3076" spans="13:18">
      <c r="M3076" s="19"/>
      <c r="N3076" s="19"/>
      <c r="O3076" s="19"/>
      <c r="P3076" s="19"/>
      <c r="Q3076" s="19"/>
      <c r="R3076" s="19"/>
    </row>
    <row r="3077" spans="13:18">
      <c r="M3077" s="19"/>
      <c r="N3077" s="19"/>
      <c r="O3077" s="19"/>
      <c r="P3077" s="19"/>
      <c r="Q3077" s="19"/>
      <c r="R3077" s="19"/>
    </row>
    <row r="3078" spans="13:18">
      <c r="M3078" s="19"/>
      <c r="N3078" s="19"/>
      <c r="O3078" s="19"/>
      <c r="P3078" s="19"/>
      <c r="Q3078" s="19"/>
      <c r="R3078" s="19"/>
    </row>
    <row r="3079" spans="13:18">
      <c r="M3079" s="19"/>
      <c r="N3079" s="19"/>
      <c r="O3079" s="19"/>
      <c r="P3079" s="19"/>
      <c r="Q3079" s="19"/>
      <c r="R3079" s="19"/>
    </row>
    <row r="3080" spans="13:18">
      <c r="M3080" s="19"/>
      <c r="N3080" s="19"/>
      <c r="O3080" s="19"/>
      <c r="P3080" s="19"/>
      <c r="Q3080" s="19"/>
      <c r="R3080" s="19"/>
    </row>
    <row r="3081" spans="13:18">
      <c r="M3081" s="19"/>
      <c r="N3081" s="19"/>
      <c r="O3081" s="19"/>
      <c r="P3081" s="19"/>
      <c r="Q3081" s="19"/>
      <c r="R3081" s="19"/>
    </row>
    <row r="3082" spans="13:18">
      <c r="M3082" s="19"/>
      <c r="N3082" s="19"/>
      <c r="O3082" s="19"/>
      <c r="P3082" s="19"/>
      <c r="Q3082" s="19"/>
      <c r="R3082" s="19"/>
    </row>
    <row r="3083" spans="13:18">
      <c r="M3083" s="19"/>
      <c r="N3083" s="19"/>
      <c r="O3083" s="19"/>
      <c r="P3083" s="19"/>
      <c r="Q3083" s="19"/>
      <c r="R3083" s="19"/>
    </row>
    <row r="3084" spans="13:18">
      <c r="M3084" s="19"/>
      <c r="N3084" s="19"/>
      <c r="O3084" s="19"/>
      <c r="P3084" s="19"/>
      <c r="Q3084" s="19"/>
      <c r="R3084" s="19"/>
    </row>
    <row r="3085" spans="13:18">
      <c r="M3085" s="19"/>
      <c r="N3085" s="19"/>
      <c r="O3085" s="19"/>
      <c r="P3085" s="19"/>
      <c r="Q3085" s="19"/>
      <c r="R3085" s="19"/>
    </row>
    <row r="3086" spans="13:18">
      <c r="M3086" s="19"/>
      <c r="N3086" s="19"/>
      <c r="O3086" s="19"/>
      <c r="P3086" s="19"/>
      <c r="Q3086" s="19"/>
      <c r="R3086" s="19"/>
    </row>
    <row r="3087" spans="13:18">
      <c r="M3087" s="19"/>
      <c r="N3087" s="19"/>
      <c r="O3087" s="19"/>
      <c r="P3087" s="19"/>
      <c r="Q3087" s="19"/>
      <c r="R3087" s="19"/>
    </row>
    <row r="3088" spans="13:18">
      <c r="M3088" s="19"/>
      <c r="N3088" s="19"/>
      <c r="O3088" s="19"/>
      <c r="P3088" s="19"/>
      <c r="Q3088" s="19"/>
      <c r="R3088" s="19"/>
    </row>
    <row r="3089" spans="13:18">
      <c r="M3089" s="19"/>
      <c r="N3089" s="19"/>
      <c r="O3089" s="19"/>
      <c r="P3089" s="19"/>
      <c r="Q3089" s="19"/>
      <c r="R3089" s="19"/>
    </row>
    <row r="3090" spans="13:18">
      <c r="M3090" s="19"/>
      <c r="N3090" s="19"/>
      <c r="O3090" s="19"/>
      <c r="P3090" s="19"/>
      <c r="Q3090" s="19"/>
      <c r="R3090" s="19"/>
    </row>
    <row r="3091" spans="13:18">
      <c r="M3091" s="19"/>
      <c r="N3091" s="19"/>
      <c r="O3091" s="19"/>
      <c r="P3091" s="19"/>
      <c r="Q3091" s="19"/>
      <c r="R3091" s="19"/>
    </row>
    <row r="3092" spans="13:18">
      <c r="M3092" s="19"/>
      <c r="N3092" s="19"/>
      <c r="O3092" s="19"/>
      <c r="P3092" s="19"/>
      <c r="Q3092" s="19"/>
      <c r="R3092" s="19"/>
    </row>
    <row r="3093" spans="13:18">
      <c r="M3093" s="19"/>
      <c r="N3093" s="19"/>
      <c r="O3093" s="19"/>
      <c r="P3093" s="19"/>
      <c r="Q3093" s="19"/>
      <c r="R3093" s="19"/>
    </row>
    <row r="3094" spans="13:18">
      <c r="M3094" s="19"/>
      <c r="N3094" s="19"/>
      <c r="O3094" s="19"/>
      <c r="P3094" s="19"/>
      <c r="Q3094" s="19"/>
      <c r="R3094" s="19"/>
    </row>
    <row r="3095" spans="13:18">
      <c r="M3095" s="19"/>
      <c r="N3095" s="19"/>
      <c r="O3095" s="19"/>
      <c r="P3095" s="19"/>
      <c r="Q3095" s="19"/>
      <c r="R3095" s="19"/>
    </row>
    <row r="3096" spans="13:18">
      <c r="M3096" s="19"/>
      <c r="N3096" s="19"/>
      <c r="O3096" s="19"/>
      <c r="P3096" s="19"/>
      <c r="Q3096" s="19"/>
      <c r="R3096" s="19"/>
    </row>
    <row r="3097" spans="13:18">
      <c r="M3097" s="19"/>
      <c r="N3097" s="19"/>
      <c r="O3097" s="19"/>
      <c r="P3097" s="19"/>
      <c r="Q3097" s="19"/>
      <c r="R3097" s="19"/>
    </row>
    <row r="3098" spans="13:18">
      <c r="M3098" s="19"/>
      <c r="N3098" s="19"/>
      <c r="O3098" s="19"/>
      <c r="P3098" s="19"/>
      <c r="Q3098" s="19"/>
      <c r="R3098" s="19"/>
    </row>
    <row r="3099" spans="13:18">
      <c r="M3099" s="19"/>
      <c r="N3099" s="19"/>
      <c r="O3099" s="19"/>
      <c r="P3099" s="19"/>
      <c r="Q3099" s="19"/>
      <c r="R3099" s="19"/>
    </row>
    <row r="3100" spans="13:18">
      <c r="M3100" s="19"/>
      <c r="N3100" s="19"/>
      <c r="O3100" s="19"/>
      <c r="P3100" s="19"/>
      <c r="Q3100" s="19"/>
      <c r="R3100" s="19"/>
    </row>
    <row r="3101" spans="13:18">
      <c r="M3101" s="19"/>
      <c r="N3101" s="19"/>
      <c r="O3101" s="19"/>
      <c r="P3101" s="19"/>
      <c r="Q3101" s="19"/>
      <c r="R3101" s="19"/>
    </row>
    <row r="3102" spans="13:18">
      <c r="M3102" s="19"/>
      <c r="N3102" s="19"/>
      <c r="O3102" s="19"/>
      <c r="P3102" s="19"/>
      <c r="Q3102" s="19"/>
      <c r="R3102" s="19"/>
    </row>
    <row r="3103" spans="13:18">
      <c r="M3103" s="19"/>
      <c r="N3103" s="19"/>
      <c r="O3103" s="19"/>
      <c r="P3103" s="19"/>
      <c r="Q3103" s="19"/>
      <c r="R3103" s="19"/>
    </row>
    <row r="3104" spans="13:18">
      <c r="M3104" s="19"/>
      <c r="N3104" s="19"/>
      <c r="O3104" s="19"/>
      <c r="P3104" s="19"/>
      <c r="Q3104" s="19"/>
      <c r="R3104" s="19"/>
    </row>
    <row r="3105" spans="13:18">
      <c r="M3105" s="19"/>
      <c r="N3105" s="19"/>
      <c r="O3105" s="19"/>
      <c r="P3105" s="19"/>
      <c r="Q3105" s="19"/>
      <c r="R3105" s="19"/>
    </row>
    <row r="3106" spans="13:18">
      <c r="M3106" s="19"/>
      <c r="N3106" s="19"/>
      <c r="O3106" s="19"/>
      <c r="P3106" s="19"/>
      <c r="Q3106" s="19"/>
      <c r="R3106" s="19"/>
    </row>
    <row r="3107" spans="13:18">
      <c r="M3107" s="19"/>
      <c r="N3107" s="19"/>
      <c r="O3107" s="19"/>
      <c r="P3107" s="19"/>
      <c r="Q3107" s="19"/>
      <c r="R3107" s="19"/>
    </row>
    <row r="3108" spans="13:18">
      <c r="M3108" s="19"/>
      <c r="N3108" s="19"/>
      <c r="O3108" s="19"/>
      <c r="P3108" s="19"/>
      <c r="Q3108" s="19"/>
      <c r="R3108" s="19"/>
    </row>
    <row r="3109" spans="13:18">
      <c r="M3109" s="19"/>
      <c r="N3109" s="19"/>
      <c r="O3109" s="19"/>
      <c r="P3109" s="19"/>
      <c r="Q3109" s="19"/>
      <c r="R3109" s="19"/>
    </row>
    <row r="3110" spans="13:18">
      <c r="M3110" s="19"/>
      <c r="N3110" s="19"/>
      <c r="O3110" s="19"/>
      <c r="P3110" s="19"/>
      <c r="Q3110" s="19"/>
      <c r="R3110" s="19"/>
    </row>
    <row r="3111" spans="13:18">
      <c r="M3111" s="19"/>
      <c r="N3111" s="19"/>
      <c r="O3111" s="19"/>
      <c r="P3111" s="19"/>
      <c r="Q3111" s="19"/>
      <c r="R3111" s="19"/>
    </row>
    <row r="3112" spans="13:18">
      <c r="M3112" s="19"/>
      <c r="N3112" s="19"/>
      <c r="O3112" s="19"/>
      <c r="P3112" s="19"/>
      <c r="Q3112" s="19"/>
      <c r="R3112" s="19"/>
    </row>
    <row r="3113" spans="13:18">
      <c r="M3113" s="19"/>
      <c r="N3113" s="19"/>
      <c r="O3113" s="19"/>
      <c r="P3113" s="19"/>
      <c r="Q3113" s="19"/>
      <c r="R3113" s="19"/>
    </row>
    <row r="3114" spans="13:18">
      <c r="M3114" s="19"/>
      <c r="N3114" s="19"/>
      <c r="O3114" s="19"/>
      <c r="P3114" s="19"/>
      <c r="Q3114" s="19"/>
      <c r="R3114" s="19"/>
    </row>
    <row r="3115" spans="13:18">
      <c r="M3115" s="19"/>
      <c r="N3115" s="19"/>
      <c r="O3115" s="19"/>
      <c r="P3115" s="19"/>
      <c r="Q3115" s="19"/>
      <c r="R3115" s="19"/>
    </row>
    <row r="3116" spans="13:18">
      <c r="M3116" s="19"/>
      <c r="N3116" s="19"/>
      <c r="O3116" s="19"/>
      <c r="P3116" s="19"/>
      <c r="Q3116" s="19"/>
      <c r="R3116" s="19"/>
    </row>
    <row r="3117" spans="13:18">
      <c r="M3117" s="19"/>
      <c r="N3117" s="19"/>
      <c r="O3117" s="19"/>
      <c r="P3117" s="19"/>
      <c r="Q3117" s="19"/>
      <c r="R3117" s="19"/>
    </row>
    <row r="3118" spans="13:18">
      <c r="M3118" s="19"/>
      <c r="N3118" s="19"/>
      <c r="O3118" s="19"/>
      <c r="P3118" s="19"/>
      <c r="Q3118" s="19"/>
      <c r="R3118" s="19"/>
    </row>
    <row r="3119" spans="13:18">
      <c r="M3119" s="19"/>
      <c r="N3119" s="19"/>
      <c r="O3119" s="19"/>
      <c r="P3119" s="19"/>
      <c r="Q3119" s="19"/>
      <c r="R3119" s="19"/>
    </row>
    <row r="3120" spans="13:18">
      <c r="M3120" s="19"/>
      <c r="N3120" s="19"/>
      <c r="O3120" s="19"/>
      <c r="P3120" s="19"/>
      <c r="Q3120" s="19"/>
      <c r="R3120" s="19"/>
    </row>
    <row r="3121" spans="13:18">
      <c r="M3121" s="19"/>
      <c r="N3121" s="19"/>
      <c r="O3121" s="19"/>
      <c r="P3121" s="19"/>
      <c r="Q3121" s="19"/>
      <c r="R3121" s="19"/>
    </row>
    <row r="3122" spans="13:18">
      <c r="M3122" s="19"/>
      <c r="N3122" s="19"/>
      <c r="O3122" s="19"/>
      <c r="P3122" s="19"/>
      <c r="Q3122" s="19"/>
      <c r="R3122" s="19"/>
    </row>
    <row r="3123" spans="13:18">
      <c r="M3123" s="19"/>
      <c r="N3123" s="19"/>
      <c r="O3123" s="19"/>
      <c r="P3123" s="19"/>
      <c r="Q3123" s="19"/>
      <c r="R3123" s="19"/>
    </row>
    <row r="3124" spans="13:18">
      <c r="M3124" s="19"/>
      <c r="N3124" s="19"/>
      <c r="O3124" s="19"/>
      <c r="P3124" s="19"/>
      <c r="Q3124" s="19"/>
      <c r="R3124" s="19"/>
    </row>
    <row r="3125" spans="13:18">
      <c r="M3125" s="19"/>
      <c r="N3125" s="19"/>
      <c r="O3125" s="19"/>
      <c r="P3125" s="19"/>
      <c r="Q3125" s="19"/>
      <c r="R3125" s="19"/>
    </row>
    <row r="3126" spans="13:18">
      <c r="M3126" s="19"/>
      <c r="N3126" s="19"/>
      <c r="O3126" s="19"/>
      <c r="P3126" s="19"/>
      <c r="Q3126" s="19"/>
      <c r="R3126" s="19"/>
    </row>
    <row r="3127" spans="13:18">
      <c r="M3127" s="19"/>
      <c r="N3127" s="19"/>
      <c r="O3127" s="19"/>
      <c r="P3127" s="19"/>
      <c r="Q3127" s="19"/>
      <c r="R3127" s="19"/>
    </row>
    <row r="3128" spans="13:18">
      <c r="M3128" s="19"/>
      <c r="N3128" s="19"/>
      <c r="O3128" s="19"/>
      <c r="P3128" s="19"/>
      <c r="Q3128" s="19"/>
      <c r="R3128" s="19"/>
    </row>
    <row r="3129" spans="13:18">
      <c r="M3129" s="19"/>
      <c r="N3129" s="19"/>
      <c r="O3129" s="19"/>
      <c r="P3129" s="19"/>
      <c r="Q3129" s="19"/>
      <c r="R3129" s="19"/>
    </row>
    <row r="3130" spans="13:18">
      <c r="M3130" s="19"/>
      <c r="N3130" s="19"/>
      <c r="O3130" s="19"/>
      <c r="P3130" s="19"/>
      <c r="Q3130" s="19"/>
      <c r="R3130" s="19"/>
    </row>
    <row r="3131" spans="13:18">
      <c r="M3131" s="19"/>
      <c r="N3131" s="19"/>
      <c r="O3131" s="19"/>
      <c r="P3131" s="19"/>
      <c r="Q3131" s="19"/>
      <c r="R3131" s="19"/>
    </row>
    <row r="3132" spans="13:18">
      <c r="M3132" s="19"/>
      <c r="N3132" s="19"/>
      <c r="O3132" s="19"/>
      <c r="P3132" s="19"/>
      <c r="Q3132" s="19"/>
      <c r="R3132" s="19"/>
    </row>
    <row r="3133" spans="13:18">
      <c r="M3133" s="19"/>
      <c r="N3133" s="19"/>
      <c r="O3133" s="19"/>
      <c r="P3133" s="19"/>
      <c r="Q3133" s="19"/>
      <c r="R3133" s="19"/>
    </row>
    <row r="3134" spans="13:18">
      <c r="M3134" s="19"/>
      <c r="N3134" s="19"/>
      <c r="O3134" s="19"/>
      <c r="P3134" s="19"/>
      <c r="Q3134" s="19"/>
      <c r="R3134" s="19"/>
    </row>
    <row r="3135" spans="13:18">
      <c r="M3135" s="19"/>
      <c r="N3135" s="19"/>
      <c r="O3135" s="19"/>
      <c r="P3135" s="19"/>
      <c r="Q3135" s="19"/>
      <c r="R3135" s="19"/>
    </row>
    <row r="3136" spans="13:18">
      <c r="M3136" s="19"/>
      <c r="N3136" s="19"/>
      <c r="O3136" s="19"/>
      <c r="P3136" s="19"/>
      <c r="Q3136" s="19"/>
      <c r="R3136" s="19"/>
    </row>
    <row r="3137" spans="13:18">
      <c r="M3137" s="19"/>
      <c r="N3137" s="19"/>
      <c r="O3137" s="19"/>
      <c r="P3137" s="19"/>
      <c r="Q3137" s="19"/>
      <c r="R3137" s="19"/>
    </row>
    <row r="3138" spans="13:18">
      <c r="M3138" s="19"/>
      <c r="N3138" s="19"/>
      <c r="O3138" s="19"/>
      <c r="P3138" s="19"/>
      <c r="Q3138" s="19"/>
      <c r="R3138" s="19"/>
    </row>
    <row r="3139" spans="13:18">
      <c r="M3139" s="19"/>
      <c r="N3139" s="19"/>
      <c r="O3139" s="19"/>
      <c r="P3139" s="19"/>
      <c r="Q3139" s="19"/>
      <c r="R3139" s="19"/>
    </row>
    <row r="3140" spans="13:18">
      <c r="M3140" s="19"/>
      <c r="N3140" s="19"/>
      <c r="O3140" s="19"/>
      <c r="P3140" s="19"/>
      <c r="Q3140" s="19"/>
      <c r="R3140" s="19"/>
    </row>
    <row r="3141" spans="13:18">
      <c r="M3141" s="19"/>
      <c r="N3141" s="19"/>
      <c r="O3141" s="19"/>
      <c r="P3141" s="19"/>
      <c r="Q3141" s="19"/>
      <c r="R3141" s="19"/>
    </row>
    <row r="3142" spans="13:18">
      <c r="M3142" s="19"/>
      <c r="N3142" s="19"/>
      <c r="O3142" s="19"/>
      <c r="P3142" s="19"/>
      <c r="Q3142" s="19"/>
      <c r="R3142" s="19"/>
    </row>
    <row r="3143" spans="13:18">
      <c r="M3143" s="19"/>
      <c r="N3143" s="19"/>
      <c r="O3143" s="19"/>
      <c r="P3143" s="19"/>
      <c r="Q3143" s="19"/>
      <c r="R3143" s="19"/>
    </row>
    <row r="3144" spans="13:18">
      <c r="M3144" s="19"/>
      <c r="N3144" s="19"/>
      <c r="O3144" s="19"/>
      <c r="P3144" s="19"/>
      <c r="Q3144" s="19"/>
      <c r="R3144" s="19"/>
    </row>
    <row r="3145" spans="13:18">
      <c r="M3145" s="19"/>
      <c r="N3145" s="19"/>
      <c r="O3145" s="19"/>
      <c r="P3145" s="19"/>
      <c r="Q3145" s="19"/>
      <c r="R3145" s="19"/>
    </row>
    <row r="3146" spans="13:18">
      <c r="M3146" s="19"/>
      <c r="N3146" s="19"/>
      <c r="O3146" s="19"/>
      <c r="P3146" s="19"/>
      <c r="Q3146" s="19"/>
      <c r="R3146" s="19"/>
    </row>
    <row r="3147" spans="13:18">
      <c r="M3147" s="19"/>
      <c r="N3147" s="19"/>
      <c r="O3147" s="19"/>
      <c r="P3147" s="19"/>
      <c r="Q3147" s="19"/>
      <c r="R3147" s="19"/>
    </row>
    <row r="3148" spans="13:18">
      <c r="M3148" s="19"/>
      <c r="N3148" s="19"/>
      <c r="O3148" s="19"/>
      <c r="P3148" s="19"/>
      <c r="Q3148" s="19"/>
      <c r="R3148" s="19"/>
    </row>
    <row r="3149" spans="13:18">
      <c r="M3149" s="19"/>
      <c r="N3149" s="19"/>
      <c r="O3149" s="19"/>
      <c r="P3149" s="19"/>
      <c r="Q3149" s="19"/>
      <c r="R3149" s="19"/>
    </row>
    <row r="3150" spans="13:18">
      <c r="M3150" s="19"/>
      <c r="N3150" s="19"/>
      <c r="O3150" s="19"/>
      <c r="P3150" s="19"/>
      <c r="Q3150" s="19"/>
      <c r="R3150" s="19"/>
    </row>
    <row r="3151" spans="13:18">
      <c r="M3151" s="19"/>
      <c r="N3151" s="19"/>
      <c r="O3151" s="19"/>
      <c r="P3151" s="19"/>
      <c r="Q3151" s="19"/>
      <c r="R3151" s="19"/>
    </row>
    <row r="3152" spans="13:18">
      <c r="M3152" s="19"/>
      <c r="N3152" s="19"/>
      <c r="O3152" s="19"/>
      <c r="P3152" s="19"/>
      <c r="Q3152" s="19"/>
      <c r="R3152" s="19"/>
    </row>
    <row r="3153" spans="13:18">
      <c r="M3153" s="19"/>
      <c r="N3153" s="19"/>
      <c r="O3153" s="19"/>
      <c r="P3153" s="19"/>
      <c r="Q3153" s="19"/>
      <c r="R3153" s="19"/>
    </row>
    <row r="3154" spans="13:18">
      <c r="M3154" s="19"/>
      <c r="N3154" s="19"/>
      <c r="O3154" s="19"/>
      <c r="P3154" s="19"/>
      <c r="Q3154" s="19"/>
      <c r="R3154" s="19"/>
    </row>
    <row r="3155" spans="13:18">
      <c r="M3155" s="19"/>
      <c r="N3155" s="19"/>
      <c r="O3155" s="19"/>
      <c r="P3155" s="19"/>
      <c r="Q3155" s="19"/>
      <c r="R3155" s="19"/>
    </row>
    <row r="3156" spans="13:18">
      <c r="M3156" s="19"/>
      <c r="N3156" s="19"/>
      <c r="O3156" s="19"/>
      <c r="P3156" s="19"/>
      <c r="Q3156" s="19"/>
      <c r="R3156" s="19"/>
    </row>
    <row r="3157" spans="13:18">
      <c r="M3157" s="19"/>
      <c r="N3157" s="19"/>
      <c r="O3157" s="19"/>
      <c r="P3157" s="19"/>
      <c r="Q3157" s="19"/>
      <c r="R3157" s="19"/>
    </row>
    <row r="3158" spans="13:18">
      <c r="M3158" s="19"/>
      <c r="N3158" s="19"/>
      <c r="O3158" s="19"/>
      <c r="P3158" s="19"/>
      <c r="Q3158" s="19"/>
      <c r="R3158" s="19"/>
    </row>
    <row r="3159" spans="13:18">
      <c r="M3159" s="19"/>
      <c r="N3159" s="19"/>
      <c r="O3159" s="19"/>
      <c r="P3159" s="19"/>
      <c r="Q3159" s="19"/>
      <c r="R3159" s="19"/>
    </row>
    <row r="3160" spans="13:18">
      <c r="M3160" s="19"/>
      <c r="N3160" s="19"/>
      <c r="O3160" s="19"/>
      <c r="P3160" s="19"/>
      <c r="Q3160" s="19"/>
      <c r="R3160" s="19"/>
    </row>
    <row r="3161" spans="13:18">
      <c r="M3161" s="19"/>
      <c r="N3161" s="19"/>
      <c r="O3161" s="19"/>
      <c r="P3161" s="19"/>
      <c r="Q3161" s="19"/>
      <c r="R3161" s="19"/>
    </row>
    <row r="3162" spans="13:18">
      <c r="M3162" s="19"/>
      <c r="N3162" s="19"/>
      <c r="O3162" s="19"/>
      <c r="P3162" s="19"/>
      <c r="Q3162" s="19"/>
      <c r="R3162" s="19"/>
    </row>
    <row r="3163" spans="13:18">
      <c r="M3163" s="19"/>
      <c r="N3163" s="19"/>
      <c r="O3163" s="19"/>
      <c r="P3163" s="19"/>
      <c r="Q3163" s="19"/>
      <c r="R3163" s="19"/>
    </row>
    <row r="3164" spans="13:18">
      <c r="M3164" s="19"/>
      <c r="N3164" s="19"/>
      <c r="O3164" s="19"/>
      <c r="P3164" s="19"/>
      <c r="Q3164" s="19"/>
      <c r="R3164" s="19"/>
    </row>
    <row r="3165" spans="13:18">
      <c r="M3165" s="19"/>
      <c r="N3165" s="19"/>
      <c r="O3165" s="19"/>
      <c r="P3165" s="19"/>
      <c r="Q3165" s="19"/>
      <c r="R3165" s="19"/>
    </row>
    <row r="3166" spans="13:18">
      <c r="M3166" s="19"/>
      <c r="N3166" s="19"/>
      <c r="O3166" s="19"/>
      <c r="P3166" s="19"/>
      <c r="Q3166" s="19"/>
      <c r="R3166" s="19"/>
    </row>
    <row r="3167" spans="13:18">
      <c r="M3167" s="19"/>
      <c r="N3167" s="19"/>
      <c r="O3167" s="19"/>
      <c r="P3167" s="19"/>
      <c r="Q3167" s="19"/>
      <c r="R3167" s="19"/>
    </row>
    <row r="3168" spans="13:18">
      <c r="M3168" s="19"/>
      <c r="N3168" s="19"/>
      <c r="O3168" s="19"/>
      <c r="P3168" s="19"/>
      <c r="Q3168" s="19"/>
      <c r="R3168" s="19"/>
    </row>
    <row r="3169" spans="13:18">
      <c r="M3169" s="19"/>
      <c r="N3169" s="19"/>
      <c r="O3169" s="19"/>
      <c r="P3169" s="19"/>
      <c r="Q3169" s="19"/>
      <c r="R3169" s="19"/>
    </row>
    <row r="3170" spans="13:18">
      <c r="M3170" s="19"/>
      <c r="N3170" s="19"/>
      <c r="O3170" s="19"/>
      <c r="P3170" s="19"/>
      <c r="Q3170" s="19"/>
      <c r="R3170" s="19"/>
    </row>
    <row r="3171" spans="13:18">
      <c r="M3171" s="19"/>
      <c r="N3171" s="19"/>
      <c r="O3171" s="19"/>
      <c r="P3171" s="19"/>
      <c r="Q3171" s="19"/>
      <c r="R3171" s="19"/>
    </row>
    <row r="3172" spans="13:18">
      <c r="M3172" s="19"/>
      <c r="N3172" s="19"/>
      <c r="O3172" s="19"/>
      <c r="P3172" s="19"/>
      <c r="Q3172" s="19"/>
      <c r="R3172" s="19"/>
    </row>
    <row r="3173" spans="13:18">
      <c r="M3173" s="19"/>
      <c r="N3173" s="19"/>
      <c r="O3173" s="19"/>
      <c r="P3173" s="19"/>
      <c r="Q3173" s="19"/>
      <c r="R3173" s="19"/>
    </row>
    <row r="3174" spans="13:18">
      <c r="M3174" s="19"/>
      <c r="N3174" s="19"/>
      <c r="O3174" s="19"/>
      <c r="P3174" s="19"/>
      <c r="Q3174" s="19"/>
      <c r="R3174" s="19"/>
    </row>
    <row r="3175" spans="13:18">
      <c r="M3175" s="19"/>
      <c r="N3175" s="19"/>
      <c r="O3175" s="19"/>
      <c r="P3175" s="19"/>
      <c r="Q3175" s="19"/>
      <c r="R3175" s="19"/>
    </row>
    <row r="3176" spans="13:18">
      <c r="M3176" s="19"/>
      <c r="N3176" s="19"/>
      <c r="O3176" s="19"/>
      <c r="P3176" s="19"/>
      <c r="Q3176" s="19"/>
      <c r="R3176" s="19"/>
    </row>
    <row r="3177" spans="13:18">
      <c r="M3177" s="19"/>
      <c r="N3177" s="19"/>
      <c r="O3177" s="19"/>
      <c r="P3177" s="19"/>
      <c r="Q3177" s="19"/>
      <c r="R3177" s="19"/>
    </row>
    <row r="3178" spans="13:18">
      <c r="M3178" s="19"/>
      <c r="N3178" s="19"/>
      <c r="O3178" s="19"/>
      <c r="P3178" s="19"/>
      <c r="Q3178" s="19"/>
      <c r="R3178" s="19"/>
    </row>
    <row r="3179" spans="13:18">
      <c r="M3179" s="19"/>
      <c r="N3179" s="19"/>
      <c r="O3179" s="19"/>
      <c r="P3179" s="19"/>
      <c r="Q3179" s="19"/>
      <c r="R3179" s="19"/>
    </row>
    <row r="3180" spans="13:18">
      <c r="M3180" s="19"/>
      <c r="N3180" s="19"/>
      <c r="O3180" s="19"/>
      <c r="P3180" s="19"/>
      <c r="Q3180" s="19"/>
      <c r="R3180" s="19"/>
    </row>
    <row r="3181" spans="13:18">
      <c r="M3181" s="19"/>
      <c r="N3181" s="19"/>
      <c r="O3181" s="19"/>
      <c r="P3181" s="19"/>
      <c r="Q3181" s="19"/>
      <c r="R3181" s="19"/>
    </row>
    <row r="3182" spans="13:18">
      <c r="M3182" s="19"/>
      <c r="N3182" s="19"/>
      <c r="O3182" s="19"/>
      <c r="P3182" s="19"/>
      <c r="Q3182" s="19"/>
      <c r="R3182" s="19"/>
    </row>
    <row r="3183" spans="13:18">
      <c r="M3183" s="19"/>
      <c r="N3183" s="19"/>
      <c r="O3183" s="19"/>
      <c r="P3183" s="19"/>
      <c r="Q3183" s="19"/>
      <c r="R3183" s="19"/>
    </row>
    <row r="3184" spans="13:18">
      <c r="M3184" s="19"/>
      <c r="N3184" s="19"/>
      <c r="O3184" s="19"/>
      <c r="P3184" s="19"/>
      <c r="Q3184" s="19"/>
      <c r="R3184" s="19"/>
    </row>
    <row r="3185" spans="13:18">
      <c r="M3185" s="19"/>
      <c r="N3185" s="19"/>
      <c r="O3185" s="19"/>
      <c r="P3185" s="19"/>
      <c r="Q3185" s="19"/>
      <c r="R3185" s="19"/>
    </row>
    <row r="3186" spans="13:18">
      <c r="M3186" s="19"/>
      <c r="N3186" s="19"/>
      <c r="O3186" s="19"/>
      <c r="P3186" s="19"/>
      <c r="Q3186" s="19"/>
      <c r="R3186" s="19"/>
    </row>
    <row r="3187" spans="13:18">
      <c r="M3187" s="19"/>
      <c r="N3187" s="19"/>
      <c r="O3187" s="19"/>
      <c r="P3187" s="19"/>
      <c r="Q3187" s="19"/>
      <c r="R3187" s="19"/>
    </row>
    <row r="3188" spans="13:18">
      <c r="M3188" s="19"/>
      <c r="N3188" s="19"/>
      <c r="O3188" s="19"/>
      <c r="P3188" s="19"/>
      <c r="Q3188" s="19"/>
      <c r="R3188" s="19"/>
    </row>
    <row r="3189" spans="13:18">
      <c r="M3189" s="19"/>
      <c r="N3189" s="19"/>
      <c r="O3189" s="19"/>
      <c r="P3189" s="19"/>
      <c r="Q3189" s="19"/>
      <c r="R3189" s="19"/>
    </row>
    <row r="3190" spans="13:18">
      <c r="M3190" s="19"/>
      <c r="N3190" s="19"/>
      <c r="O3190" s="19"/>
      <c r="P3190" s="19"/>
      <c r="Q3190" s="19"/>
      <c r="R3190" s="19"/>
    </row>
    <row r="3191" spans="13:18">
      <c r="M3191" s="19"/>
      <c r="N3191" s="19"/>
      <c r="O3191" s="19"/>
      <c r="P3191" s="19"/>
      <c r="Q3191" s="19"/>
      <c r="R3191" s="19"/>
    </row>
    <row r="3192" spans="13:18">
      <c r="M3192" s="19"/>
      <c r="N3192" s="19"/>
      <c r="O3192" s="19"/>
      <c r="P3192" s="19"/>
      <c r="Q3192" s="19"/>
      <c r="R3192" s="19"/>
    </row>
    <row r="3193" spans="13:18">
      <c r="M3193" s="19"/>
      <c r="N3193" s="19"/>
      <c r="O3193" s="19"/>
      <c r="P3193" s="19"/>
      <c r="Q3193" s="19"/>
      <c r="R3193" s="19"/>
    </row>
    <row r="3194" spans="13:18">
      <c r="M3194" s="19"/>
      <c r="N3194" s="19"/>
      <c r="O3194" s="19"/>
      <c r="P3194" s="19"/>
      <c r="Q3194" s="19"/>
      <c r="R3194" s="19"/>
    </row>
    <row r="3195" spans="13:18">
      <c r="M3195" s="19"/>
      <c r="N3195" s="19"/>
      <c r="O3195" s="19"/>
      <c r="P3195" s="19"/>
      <c r="Q3195" s="19"/>
      <c r="R3195" s="19"/>
    </row>
    <row r="3196" spans="13:18">
      <c r="M3196" s="19"/>
      <c r="N3196" s="19"/>
      <c r="O3196" s="19"/>
      <c r="P3196" s="19"/>
      <c r="Q3196" s="19"/>
      <c r="R3196" s="19"/>
    </row>
    <row r="3197" spans="13:18">
      <c r="M3197" s="19"/>
      <c r="N3197" s="19"/>
      <c r="O3197" s="19"/>
      <c r="P3197" s="19"/>
      <c r="Q3197" s="19"/>
      <c r="R3197" s="19"/>
    </row>
    <row r="3198" spans="13:18">
      <c r="M3198" s="19"/>
      <c r="N3198" s="19"/>
      <c r="O3198" s="19"/>
      <c r="P3198" s="19"/>
      <c r="Q3198" s="19"/>
      <c r="R3198" s="19"/>
    </row>
    <row r="3199" spans="13:18">
      <c r="M3199" s="19"/>
      <c r="N3199" s="19"/>
      <c r="O3199" s="19"/>
      <c r="P3199" s="19"/>
      <c r="Q3199" s="19"/>
      <c r="R3199" s="19"/>
    </row>
    <row r="3200" spans="13:18">
      <c r="M3200" s="19"/>
      <c r="N3200" s="19"/>
      <c r="O3200" s="19"/>
      <c r="P3200" s="19"/>
      <c r="Q3200" s="19"/>
      <c r="R3200" s="19"/>
    </row>
    <row r="3201" spans="13:18">
      <c r="M3201" s="19"/>
      <c r="N3201" s="19"/>
      <c r="O3201" s="19"/>
      <c r="P3201" s="19"/>
      <c r="Q3201" s="19"/>
      <c r="R3201" s="19"/>
    </row>
    <row r="3202" spans="13:18">
      <c r="M3202" s="19"/>
      <c r="N3202" s="19"/>
      <c r="O3202" s="19"/>
      <c r="P3202" s="19"/>
      <c r="Q3202" s="19"/>
      <c r="R3202" s="19"/>
    </row>
    <row r="3203" spans="13:18">
      <c r="M3203" s="19"/>
      <c r="N3203" s="19"/>
      <c r="O3203" s="19"/>
      <c r="P3203" s="19"/>
      <c r="Q3203" s="19"/>
      <c r="R3203" s="19"/>
    </row>
    <row r="3204" spans="13:18">
      <c r="M3204" s="19"/>
      <c r="N3204" s="19"/>
      <c r="O3204" s="19"/>
      <c r="P3204" s="19"/>
      <c r="Q3204" s="19"/>
      <c r="R3204" s="19"/>
    </row>
    <row r="3205" spans="13:18">
      <c r="M3205" s="19"/>
      <c r="N3205" s="19"/>
      <c r="O3205" s="19"/>
      <c r="P3205" s="19"/>
      <c r="Q3205" s="19"/>
      <c r="R3205" s="19"/>
    </row>
    <row r="3206" spans="13:18">
      <c r="M3206" s="19"/>
      <c r="N3206" s="19"/>
      <c r="O3206" s="19"/>
      <c r="P3206" s="19"/>
      <c r="Q3206" s="19"/>
      <c r="R3206" s="19"/>
    </row>
    <row r="3207" spans="13:18">
      <c r="M3207" s="19"/>
      <c r="N3207" s="19"/>
      <c r="O3207" s="19"/>
      <c r="P3207" s="19"/>
      <c r="Q3207" s="19"/>
      <c r="R3207" s="19"/>
    </row>
    <row r="3208" spans="13:18">
      <c r="M3208" s="19"/>
      <c r="N3208" s="19"/>
      <c r="O3208" s="19"/>
      <c r="P3208" s="19"/>
      <c r="Q3208" s="19"/>
      <c r="R3208" s="19"/>
    </row>
    <row r="3209" spans="13:18">
      <c r="M3209" s="19"/>
      <c r="N3209" s="19"/>
      <c r="O3209" s="19"/>
      <c r="P3209" s="19"/>
      <c r="Q3209" s="19"/>
      <c r="R3209" s="19"/>
    </row>
    <row r="3210" spans="13:18">
      <c r="M3210" s="19"/>
      <c r="N3210" s="19"/>
      <c r="O3210" s="19"/>
      <c r="P3210" s="19"/>
      <c r="Q3210" s="19"/>
      <c r="R3210" s="19"/>
    </row>
    <row r="3211" spans="13:18">
      <c r="M3211" s="19"/>
      <c r="N3211" s="19"/>
      <c r="O3211" s="19"/>
      <c r="P3211" s="19"/>
      <c r="Q3211" s="19"/>
      <c r="R3211" s="19"/>
    </row>
    <row r="3212" spans="13:18">
      <c r="M3212" s="19"/>
      <c r="N3212" s="19"/>
      <c r="O3212" s="19"/>
      <c r="P3212" s="19"/>
      <c r="Q3212" s="19"/>
      <c r="R3212" s="19"/>
    </row>
    <row r="3213" spans="13:18">
      <c r="M3213" s="19"/>
      <c r="N3213" s="19"/>
      <c r="O3213" s="19"/>
      <c r="P3213" s="19"/>
      <c r="Q3213" s="19"/>
      <c r="R3213" s="19"/>
    </row>
    <row r="3214" spans="13:18">
      <c r="M3214" s="19"/>
      <c r="N3214" s="19"/>
      <c r="O3214" s="19"/>
      <c r="P3214" s="19"/>
      <c r="Q3214" s="19"/>
      <c r="R3214" s="19"/>
    </row>
    <row r="3215" spans="13:18">
      <c r="M3215" s="19"/>
      <c r="N3215" s="19"/>
      <c r="O3215" s="19"/>
      <c r="P3215" s="19"/>
      <c r="Q3215" s="19"/>
      <c r="R3215" s="19"/>
    </row>
    <row r="3216" spans="13:18">
      <c r="M3216" s="19"/>
      <c r="N3216" s="19"/>
      <c r="O3216" s="19"/>
      <c r="P3216" s="19"/>
      <c r="Q3216" s="19"/>
      <c r="R3216" s="19"/>
    </row>
    <row r="3217" spans="13:18">
      <c r="M3217" s="19"/>
      <c r="N3217" s="19"/>
      <c r="O3217" s="19"/>
      <c r="P3217" s="19"/>
      <c r="Q3217" s="19"/>
      <c r="R3217" s="19"/>
    </row>
    <row r="3218" spans="13:18">
      <c r="M3218" s="19"/>
      <c r="N3218" s="19"/>
      <c r="O3218" s="19"/>
      <c r="P3218" s="19"/>
      <c r="Q3218" s="19"/>
      <c r="R3218" s="19"/>
    </row>
    <row r="3219" spans="13:18">
      <c r="M3219" s="19"/>
      <c r="N3219" s="19"/>
      <c r="O3219" s="19"/>
      <c r="P3219" s="19"/>
      <c r="Q3219" s="19"/>
      <c r="R3219" s="19"/>
    </row>
    <row r="3220" spans="13:18">
      <c r="M3220" s="19"/>
      <c r="N3220" s="19"/>
      <c r="O3220" s="19"/>
      <c r="P3220" s="19"/>
      <c r="Q3220" s="19"/>
      <c r="R3220" s="19"/>
    </row>
    <row r="3221" spans="13:18">
      <c r="M3221" s="19"/>
      <c r="N3221" s="19"/>
      <c r="O3221" s="19"/>
      <c r="P3221" s="19"/>
      <c r="Q3221" s="19"/>
      <c r="R3221" s="19"/>
    </row>
    <row r="3222" spans="13:18">
      <c r="M3222" s="19"/>
      <c r="N3222" s="19"/>
      <c r="O3222" s="19"/>
      <c r="P3222" s="19"/>
      <c r="Q3222" s="19"/>
      <c r="R3222" s="19"/>
    </row>
    <row r="3223" spans="13:18">
      <c r="M3223" s="19"/>
      <c r="N3223" s="19"/>
      <c r="O3223" s="19"/>
      <c r="P3223" s="19"/>
      <c r="Q3223" s="19"/>
      <c r="R3223" s="19"/>
    </row>
    <row r="3224" spans="13:18">
      <c r="M3224" s="19"/>
      <c r="N3224" s="19"/>
      <c r="O3224" s="19"/>
      <c r="P3224" s="19"/>
      <c r="Q3224" s="19"/>
      <c r="R3224" s="19"/>
    </row>
    <row r="3225" spans="13:18">
      <c r="M3225" s="19"/>
      <c r="N3225" s="19"/>
      <c r="O3225" s="19"/>
      <c r="P3225" s="19"/>
      <c r="Q3225" s="19"/>
      <c r="R3225" s="19"/>
    </row>
    <row r="3226" spans="13:18">
      <c r="M3226" s="19"/>
      <c r="N3226" s="19"/>
      <c r="O3226" s="19"/>
      <c r="P3226" s="19"/>
      <c r="Q3226" s="19"/>
      <c r="R3226" s="19"/>
    </row>
    <row r="3227" spans="13:18">
      <c r="M3227" s="19"/>
      <c r="N3227" s="19"/>
      <c r="O3227" s="19"/>
      <c r="P3227" s="19"/>
      <c r="Q3227" s="19"/>
      <c r="R3227" s="19"/>
    </row>
    <row r="3228" spans="13:18">
      <c r="M3228" s="19"/>
      <c r="N3228" s="19"/>
      <c r="O3228" s="19"/>
      <c r="P3228" s="19"/>
      <c r="Q3228" s="19"/>
      <c r="R3228" s="19"/>
    </row>
    <row r="3229" spans="13:18">
      <c r="M3229" s="19"/>
      <c r="N3229" s="19"/>
      <c r="O3229" s="19"/>
      <c r="P3229" s="19"/>
      <c r="Q3229" s="19"/>
      <c r="R3229" s="19"/>
    </row>
    <row r="3230" spans="13:18">
      <c r="M3230" s="19"/>
      <c r="N3230" s="19"/>
      <c r="O3230" s="19"/>
      <c r="P3230" s="19"/>
      <c r="Q3230" s="19"/>
      <c r="R3230" s="19"/>
    </row>
    <row r="3231" spans="13:18">
      <c r="M3231" s="19"/>
      <c r="N3231" s="19"/>
      <c r="O3231" s="19"/>
      <c r="P3231" s="19"/>
      <c r="Q3231" s="19"/>
      <c r="R3231" s="19"/>
    </row>
    <row r="3232" spans="13:18">
      <c r="M3232" s="19"/>
      <c r="N3232" s="19"/>
      <c r="O3232" s="19"/>
      <c r="P3232" s="19"/>
      <c r="Q3232" s="19"/>
      <c r="R3232" s="19"/>
    </row>
    <row r="3233" spans="13:18">
      <c r="M3233" s="19"/>
      <c r="N3233" s="19"/>
      <c r="O3233" s="19"/>
      <c r="P3233" s="19"/>
      <c r="Q3233" s="19"/>
      <c r="R3233" s="19"/>
    </row>
    <row r="3234" spans="13:18">
      <c r="M3234" s="19"/>
      <c r="N3234" s="19"/>
      <c r="O3234" s="19"/>
      <c r="P3234" s="19"/>
      <c r="Q3234" s="19"/>
      <c r="R3234" s="19"/>
    </row>
    <row r="3235" spans="13:18">
      <c r="M3235" s="19"/>
      <c r="N3235" s="19"/>
      <c r="O3235" s="19"/>
      <c r="P3235" s="19"/>
      <c r="Q3235" s="19"/>
      <c r="R3235" s="19"/>
    </row>
    <row r="3236" spans="13:18">
      <c r="M3236" s="19"/>
      <c r="N3236" s="19"/>
      <c r="O3236" s="19"/>
      <c r="P3236" s="19"/>
      <c r="Q3236" s="19"/>
      <c r="R3236" s="19"/>
    </row>
    <row r="3237" spans="13:18">
      <c r="M3237" s="19"/>
      <c r="N3237" s="19"/>
      <c r="O3237" s="19"/>
      <c r="P3237" s="19"/>
      <c r="Q3237" s="19"/>
      <c r="R3237" s="19"/>
    </row>
    <row r="3238" spans="13:18">
      <c r="M3238" s="19"/>
      <c r="N3238" s="19"/>
      <c r="O3238" s="19"/>
      <c r="P3238" s="19"/>
      <c r="Q3238" s="19"/>
      <c r="R3238" s="19"/>
    </row>
    <row r="3239" spans="13:18">
      <c r="M3239" s="19"/>
      <c r="N3239" s="19"/>
      <c r="O3239" s="19"/>
      <c r="P3239" s="19"/>
      <c r="Q3239" s="19"/>
      <c r="R3239" s="19"/>
    </row>
    <row r="3240" spans="13:18">
      <c r="M3240" s="19"/>
      <c r="N3240" s="19"/>
      <c r="O3240" s="19"/>
      <c r="P3240" s="19"/>
      <c r="Q3240" s="19"/>
      <c r="R3240" s="19"/>
    </row>
    <row r="3241" spans="13:18">
      <c r="M3241" s="19"/>
      <c r="N3241" s="19"/>
      <c r="O3241" s="19"/>
      <c r="P3241" s="19"/>
      <c r="Q3241" s="19"/>
      <c r="R3241" s="19"/>
    </row>
    <row r="3242" spans="13:18">
      <c r="M3242" s="19"/>
      <c r="N3242" s="19"/>
      <c r="O3242" s="19"/>
      <c r="P3242" s="19"/>
      <c r="Q3242" s="19"/>
      <c r="R3242" s="19"/>
    </row>
    <row r="3243" spans="13:18">
      <c r="M3243" s="19"/>
      <c r="N3243" s="19"/>
      <c r="O3243" s="19"/>
      <c r="P3243" s="19"/>
      <c r="Q3243" s="19"/>
      <c r="R3243" s="19"/>
    </row>
    <row r="3244" spans="13:18">
      <c r="M3244" s="19"/>
      <c r="N3244" s="19"/>
      <c r="O3244" s="19"/>
      <c r="P3244" s="19"/>
      <c r="Q3244" s="19"/>
      <c r="R3244" s="19"/>
    </row>
    <row r="3245" spans="13:18">
      <c r="M3245" s="19"/>
      <c r="N3245" s="19"/>
      <c r="O3245" s="19"/>
      <c r="P3245" s="19"/>
      <c r="Q3245" s="19"/>
      <c r="R3245" s="19"/>
    </row>
    <row r="3246" spans="13:18">
      <c r="M3246" s="19"/>
      <c r="N3246" s="19"/>
      <c r="O3246" s="19"/>
      <c r="P3246" s="19"/>
      <c r="Q3246" s="19"/>
      <c r="R3246" s="19"/>
    </row>
    <row r="3247" spans="13:18">
      <c r="M3247" s="19"/>
      <c r="N3247" s="19"/>
      <c r="O3247" s="19"/>
      <c r="P3247" s="19"/>
      <c r="Q3247" s="19"/>
      <c r="R3247" s="19"/>
    </row>
    <row r="3248" spans="13:18">
      <c r="M3248" s="19"/>
      <c r="N3248" s="19"/>
      <c r="O3248" s="19"/>
      <c r="P3248" s="19"/>
      <c r="Q3248" s="19"/>
      <c r="R3248" s="19"/>
    </row>
    <row r="3249" spans="13:18">
      <c r="M3249" s="19"/>
      <c r="N3249" s="19"/>
      <c r="O3249" s="19"/>
      <c r="P3249" s="19"/>
      <c r="Q3249" s="19"/>
      <c r="R3249" s="19"/>
    </row>
    <row r="3250" spans="13:18">
      <c r="M3250" s="19"/>
      <c r="N3250" s="19"/>
      <c r="O3250" s="19"/>
      <c r="P3250" s="19"/>
      <c r="Q3250" s="19"/>
      <c r="R3250" s="19"/>
    </row>
    <row r="3251" spans="13:18">
      <c r="M3251" s="19"/>
      <c r="N3251" s="19"/>
      <c r="O3251" s="19"/>
      <c r="P3251" s="19"/>
      <c r="Q3251" s="19"/>
      <c r="R3251" s="19"/>
    </row>
    <row r="3252" spans="13:18">
      <c r="M3252" s="19"/>
      <c r="N3252" s="19"/>
      <c r="O3252" s="19"/>
      <c r="P3252" s="19"/>
      <c r="Q3252" s="19"/>
      <c r="R3252" s="19"/>
    </row>
    <row r="3253" spans="13:18">
      <c r="M3253" s="19"/>
      <c r="N3253" s="19"/>
      <c r="O3253" s="19"/>
      <c r="P3253" s="19"/>
      <c r="Q3253" s="19"/>
      <c r="R3253" s="19"/>
    </row>
    <row r="3254" spans="13:18">
      <c r="M3254" s="19"/>
      <c r="N3254" s="19"/>
      <c r="O3254" s="19"/>
      <c r="P3254" s="19"/>
      <c r="Q3254" s="19"/>
      <c r="R3254" s="19"/>
    </row>
    <row r="3255" spans="13:18">
      <c r="M3255" s="19"/>
      <c r="N3255" s="19"/>
      <c r="O3255" s="19"/>
      <c r="P3255" s="19"/>
      <c r="Q3255" s="19"/>
      <c r="R3255" s="19"/>
    </row>
    <row r="3256" spans="13:18">
      <c r="M3256" s="19"/>
      <c r="N3256" s="19"/>
      <c r="O3256" s="19"/>
      <c r="P3256" s="19"/>
      <c r="Q3256" s="19"/>
      <c r="R3256" s="19"/>
    </row>
    <row r="3257" spans="13:18">
      <c r="M3257" s="19"/>
      <c r="N3257" s="19"/>
      <c r="O3257" s="19"/>
      <c r="P3257" s="19"/>
      <c r="Q3257" s="19"/>
      <c r="R3257" s="19"/>
    </row>
    <row r="3258" spans="13:18">
      <c r="M3258" s="19"/>
      <c r="N3258" s="19"/>
      <c r="O3258" s="19"/>
      <c r="P3258" s="19"/>
      <c r="Q3258" s="19"/>
      <c r="R3258" s="19"/>
    </row>
    <row r="3259" spans="13:18">
      <c r="M3259" s="19"/>
      <c r="N3259" s="19"/>
      <c r="O3259" s="19"/>
      <c r="P3259" s="19"/>
      <c r="Q3259" s="19"/>
      <c r="R3259" s="19"/>
    </row>
    <row r="3260" spans="13:18">
      <c r="M3260" s="19"/>
      <c r="N3260" s="19"/>
      <c r="O3260" s="19"/>
      <c r="P3260" s="19"/>
      <c r="Q3260" s="19"/>
      <c r="R3260" s="19"/>
    </row>
    <row r="3261" spans="13:18">
      <c r="M3261" s="19"/>
      <c r="N3261" s="19"/>
      <c r="O3261" s="19"/>
      <c r="P3261" s="19"/>
      <c r="Q3261" s="19"/>
      <c r="R3261" s="19"/>
    </row>
    <row r="3262" spans="13:18">
      <c r="M3262" s="19"/>
      <c r="N3262" s="19"/>
      <c r="O3262" s="19"/>
      <c r="P3262" s="19"/>
      <c r="Q3262" s="19"/>
      <c r="R3262" s="19"/>
    </row>
    <row r="3263" spans="13:18">
      <c r="M3263" s="19"/>
      <c r="N3263" s="19"/>
      <c r="O3263" s="19"/>
      <c r="P3263" s="19"/>
      <c r="Q3263" s="19"/>
      <c r="R3263" s="19"/>
    </row>
    <row r="3264" spans="13:18">
      <c r="M3264" s="19"/>
      <c r="N3264" s="19"/>
      <c r="O3264" s="19"/>
      <c r="P3264" s="19"/>
      <c r="Q3264" s="19"/>
      <c r="R3264" s="19"/>
    </row>
    <row r="3265" spans="13:18">
      <c r="M3265" s="19"/>
      <c r="N3265" s="19"/>
      <c r="O3265" s="19"/>
      <c r="P3265" s="19"/>
      <c r="Q3265" s="19"/>
      <c r="R3265" s="19"/>
    </row>
    <row r="3266" spans="13:18">
      <c r="M3266" s="19"/>
      <c r="N3266" s="19"/>
      <c r="O3266" s="19"/>
      <c r="P3266" s="19"/>
      <c r="Q3266" s="19"/>
      <c r="R3266" s="19"/>
    </row>
    <row r="3267" spans="13:18">
      <c r="M3267" s="19"/>
      <c r="N3267" s="19"/>
      <c r="O3267" s="19"/>
      <c r="P3267" s="19"/>
      <c r="Q3267" s="19"/>
      <c r="R3267" s="19"/>
    </row>
    <row r="3268" spans="13:18">
      <c r="M3268" s="19"/>
      <c r="N3268" s="19"/>
      <c r="O3268" s="19"/>
      <c r="P3268" s="19"/>
      <c r="Q3268" s="19"/>
      <c r="R3268" s="19"/>
    </row>
    <row r="3269" spans="13:18">
      <c r="M3269" s="19"/>
      <c r="N3269" s="19"/>
      <c r="O3269" s="19"/>
      <c r="P3269" s="19"/>
      <c r="Q3269" s="19"/>
      <c r="R3269" s="19"/>
    </row>
    <row r="3270" spans="13:18">
      <c r="M3270" s="19"/>
      <c r="N3270" s="19"/>
      <c r="O3270" s="19"/>
      <c r="P3270" s="19"/>
      <c r="Q3270" s="19"/>
      <c r="R3270" s="19"/>
    </row>
    <row r="3271" spans="13:18">
      <c r="M3271" s="19"/>
      <c r="N3271" s="19"/>
      <c r="O3271" s="19"/>
      <c r="P3271" s="19"/>
      <c r="Q3271" s="19"/>
      <c r="R3271" s="19"/>
    </row>
    <row r="3272" spans="13:18">
      <c r="M3272" s="19"/>
      <c r="N3272" s="19"/>
      <c r="O3272" s="19"/>
      <c r="P3272" s="19"/>
      <c r="Q3272" s="19"/>
      <c r="R3272" s="19"/>
    </row>
    <row r="3273" spans="13:18">
      <c r="M3273" s="19"/>
      <c r="N3273" s="19"/>
      <c r="O3273" s="19"/>
      <c r="P3273" s="19"/>
      <c r="Q3273" s="19"/>
      <c r="R3273" s="19"/>
    </row>
    <row r="3274" spans="13:18">
      <c r="M3274" s="19"/>
      <c r="N3274" s="19"/>
      <c r="O3274" s="19"/>
      <c r="P3274" s="19"/>
      <c r="Q3274" s="19"/>
      <c r="R3274" s="19"/>
    </row>
    <row r="3275" spans="13:18">
      <c r="M3275" s="19"/>
      <c r="N3275" s="19"/>
      <c r="O3275" s="19"/>
      <c r="P3275" s="19"/>
      <c r="Q3275" s="19"/>
      <c r="R3275" s="19"/>
    </row>
    <row r="3276" spans="13:18">
      <c r="M3276" s="19"/>
      <c r="N3276" s="19"/>
      <c r="O3276" s="19"/>
      <c r="P3276" s="19"/>
      <c r="Q3276" s="19"/>
      <c r="R3276" s="19"/>
    </row>
    <row r="3277" spans="13:18">
      <c r="M3277" s="19"/>
      <c r="N3277" s="19"/>
      <c r="O3277" s="19"/>
      <c r="P3277" s="19"/>
      <c r="Q3277" s="19"/>
      <c r="R3277" s="19"/>
    </row>
    <row r="3278" spans="13:18">
      <c r="M3278" s="19"/>
      <c r="N3278" s="19"/>
      <c r="O3278" s="19"/>
      <c r="P3278" s="19"/>
      <c r="Q3278" s="19"/>
      <c r="R3278" s="19"/>
    </row>
    <row r="3279" spans="13:18">
      <c r="M3279" s="19"/>
      <c r="N3279" s="19"/>
      <c r="O3279" s="19"/>
      <c r="P3279" s="19"/>
      <c r="Q3279" s="19"/>
      <c r="R3279" s="19"/>
    </row>
    <row r="3280" spans="13:18">
      <c r="M3280" s="19"/>
      <c r="N3280" s="19"/>
      <c r="O3280" s="19"/>
      <c r="P3280" s="19"/>
      <c r="Q3280" s="19"/>
      <c r="R3280" s="19"/>
    </row>
    <row r="3281" spans="13:18">
      <c r="M3281" s="19"/>
      <c r="N3281" s="19"/>
      <c r="O3281" s="19"/>
      <c r="P3281" s="19"/>
      <c r="Q3281" s="19"/>
      <c r="R3281" s="19"/>
    </row>
    <row r="3282" spans="13:18">
      <c r="M3282" s="19"/>
      <c r="N3282" s="19"/>
      <c r="O3282" s="19"/>
      <c r="P3282" s="19"/>
      <c r="Q3282" s="19"/>
      <c r="R3282" s="19"/>
    </row>
    <row r="3283" spans="13:18">
      <c r="M3283" s="19"/>
      <c r="N3283" s="19"/>
      <c r="O3283" s="19"/>
      <c r="P3283" s="19"/>
      <c r="Q3283" s="19"/>
      <c r="R3283" s="19"/>
    </row>
    <row r="3284" spans="13:18">
      <c r="M3284" s="19"/>
      <c r="N3284" s="19"/>
      <c r="O3284" s="19"/>
      <c r="P3284" s="19"/>
      <c r="Q3284" s="19"/>
      <c r="R3284" s="19"/>
    </row>
    <row r="3285" spans="13:18">
      <c r="M3285" s="19"/>
      <c r="N3285" s="19"/>
      <c r="O3285" s="19"/>
      <c r="P3285" s="19"/>
      <c r="Q3285" s="19"/>
      <c r="R3285" s="19"/>
    </row>
    <row r="3286" spans="13:18">
      <c r="M3286" s="19"/>
      <c r="N3286" s="19"/>
      <c r="O3286" s="19"/>
      <c r="P3286" s="19"/>
      <c r="Q3286" s="19"/>
      <c r="R3286" s="19"/>
    </row>
    <row r="3287" spans="13:18">
      <c r="M3287" s="19"/>
      <c r="N3287" s="19"/>
      <c r="O3287" s="19"/>
      <c r="P3287" s="19"/>
      <c r="Q3287" s="19"/>
      <c r="R3287" s="19"/>
    </row>
    <row r="3288" spans="13:18">
      <c r="M3288" s="19"/>
      <c r="N3288" s="19"/>
      <c r="O3288" s="19"/>
      <c r="P3288" s="19"/>
      <c r="Q3288" s="19"/>
      <c r="R3288" s="19"/>
    </row>
    <row r="3289" spans="13:18">
      <c r="M3289" s="19"/>
      <c r="N3289" s="19"/>
      <c r="O3289" s="19"/>
      <c r="P3289" s="19"/>
      <c r="Q3289" s="19"/>
      <c r="R3289" s="19"/>
    </row>
    <row r="3290" spans="13:18">
      <c r="M3290" s="19"/>
      <c r="N3290" s="19"/>
      <c r="O3290" s="19"/>
      <c r="P3290" s="19"/>
      <c r="Q3290" s="19"/>
      <c r="R3290" s="19"/>
    </row>
    <row r="3291" spans="13:18">
      <c r="M3291" s="19"/>
      <c r="N3291" s="19"/>
      <c r="O3291" s="19"/>
      <c r="P3291" s="19"/>
      <c r="Q3291" s="19"/>
      <c r="R3291" s="19"/>
    </row>
    <row r="3292" spans="13:18">
      <c r="M3292" s="19"/>
      <c r="N3292" s="19"/>
      <c r="O3292" s="19"/>
      <c r="P3292" s="19"/>
      <c r="Q3292" s="19"/>
      <c r="R3292" s="19"/>
    </row>
    <row r="3293" spans="13:18">
      <c r="M3293" s="19"/>
      <c r="N3293" s="19"/>
      <c r="O3293" s="19"/>
      <c r="P3293" s="19"/>
      <c r="Q3293" s="19"/>
      <c r="R3293" s="19"/>
    </row>
    <row r="3294" spans="13:18">
      <c r="M3294" s="19"/>
      <c r="N3294" s="19"/>
      <c r="O3294" s="19"/>
      <c r="P3294" s="19"/>
      <c r="Q3294" s="19"/>
      <c r="R3294" s="19"/>
    </row>
    <row r="3295" spans="13:18">
      <c r="M3295" s="19"/>
      <c r="N3295" s="19"/>
      <c r="O3295" s="19"/>
      <c r="P3295" s="19"/>
      <c r="Q3295" s="19"/>
      <c r="R3295" s="19"/>
    </row>
    <row r="3296" spans="13:18">
      <c r="M3296" s="19"/>
      <c r="N3296" s="19"/>
      <c r="O3296" s="19"/>
      <c r="P3296" s="19"/>
      <c r="Q3296" s="19"/>
      <c r="R3296" s="19"/>
    </row>
    <row r="3297" spans="13:18">
      <c r="M3297" s="19"/>
      <c r="N3297" s="19"/>
      <c r="O3297" s="19"/>
      <c r="P3297" s="19"/>
      <c r="Q3297" s="19"/>
      <c r="R3297" s="19"/>
    </row>
    <row r="3298" spans="13:18">
      <c r="M3298" s="19"/>
      <c r="N3298" s="19"/>
      <c r="O3298" s="19"/>
      <c r="P3298" s="19"/>
      <c r="Q3298" s="19"/>
      <c r="R3298" s="19"/>
    </row>
    <row r="3299" spans="13:18">
      <c r="M3299" s="19"/>
      <c r="N3299" s="19"/>
      <c r="O3299" s="19"/>
      <c r="P3299" s="19"/>
      <c r="Q3299" s="19"/>
      <c r="R3299" s="19"/>
    </row>
    <row r="3300" spans="13:18">
      <c r="M3300" s="19"/>
      <c r="N3300" s="19"/>
      <c r="O3300" s="19"/>
      <c r="P3300" s="19"/>
      <c r="Q3300" s="19"/>
      <c r="R3300" s="19"/>
    </row>
    <row r="3301" spans="13:18">
      <c r="M3301" s="19"/>
      <c r="N3301" s="19"/>
      <c r="O3301" s="19"/>
      <c r="P3301" s="19"/>
      <c r="Q3301" s="19"/>
      <c r="R3301" s="19"/>
    </row>
    <row r="3302" spans="13:18">
      <c r="M3302" s="19"/>
      <c r="N3302" s="19"/>
      <c r="O3302" s="19"/>
      <c r="P3302" s="19"/>
      <c r="Q3302" s="19"/>
      <c r="R3302" s="19"/>
    </row>
    <row r="3303" spans="13:18">
      <c r="M3303" s="19"/>
      <c r="N3303" s="19"/>
      <c r="O3303" s="19"/>
      <c r="P3303" s="19"/>
      <c r="Q3303" s="19"/>
      <c r="R3303" s="19"/>
    </row>
    <row r="3304" spans="13:18">
      <c r="M3304" s="19"/>
      <c r="N3304" s="19"/>
      <c r="O3304" s="19"/>
      <c r="P3304" s="19"/>
      <c r="Q3304" s="19"/>
      <c r="R3304" s="19"/>
    </row>
    <row r="3305" spans="13:18">
      <c r="M3305" s="19"/>
      <c r="N3305" s="19"/>
      <c r="O3305" s="19"/>
      <c r="P3305" s="19"/>
      <c r="Q3305" s="19"/>
      <c r="R3305" s="19"/>
    </row>
    <row r="3306" spans="13:18">
      <c r="M3306" s="19"/>
      <c r="N3306" s="19"/>
      <c r="O3306" s="19"/>
      <c r="P3306" s="19"/>
      <c r="Q3306" s="19"/>
      <c r="R3306" s="19"/>
    </row>
    <row r="3307" spans="13:18">
      <c r="M3307" s="19"/>
      <c r="N3307" s="19"/>
      <c r="O3307" s="19"/>
      <c r="P3307" s="19"/>
      <c r="Q3307" s="19"/>
      <c r="R3307" s="19"/>
    </row>
    <row r="3308" spans="13:18">
      <c r="M3308" s="19"/>
      <c r="N3308" s="19"/>
      <c r="O3308" s="19"/>
      <c r="P3308" s="19"/>
      <c r="Q3308" s="19"/>
      <c r="R3308" s="19"/>
    </row>
    <row r="3309" spans="13:18">
      <c r="M3309" s="19"/>
      <c r="N3309" s="19"/>
      <c r="O3309" s="19"/>
      <c r="P3309" s="19"/>
      <c r="Q3309" s="19"/>
      <c r="R3309" s="19"/>
    </row>
    <row r="3310" spans="13:18">
      <c r="M3310" s="19"/>
      <c r="N3310" s="19"/>
      <c r="O3310" s="19"/>
      <c r="P3310" s="19"/>
      <c r="Q3310" s="19"/>
      <c r="R3310" s="19"/>
    </row>
    <row r="3311" spans="13:18">
      <c r="M3311" s="19"/>
      <c r="N3311" s="19"/>
      <c r="O3311" s="19"/>
      <c r="P3311" s="19"/>
      <c r="Q3311" s="19"/>
      <c r="R3311" s="19"/>
    </row>
    <row r="3312" spans="13:18">
      <c r="M3312" s="19"/>
      <c r="N3312" s="19"/>
      <c r="O3312" s="19"/>
      <c r="P3312" s="19"/>
      <c r="Q3312" s="19"/>
      <c r="R3312" s="19"/>
    </row>
    <row r="3313" spans="13:18">
      <c r="M3313" s="19"/>
      <c r="N3313" s="19"/>
      <c r="O3313" s="19"/>
      <c r="P3313" s="19"/>
      <c r="Q3313" s="19"/>
      <c r="R3313" s="19"/>
    </row>
    <row r="3314" spans="13:18">
      <c r="M3314" s="19"/>
      <c r="N3314" s="19"/>
      <c r="O3314" s="19"/>
      <c r="P3314" s="19"/>
      <c r="Q3314" s="19"/>
      <c r="R3314" s="19"/>
    </row>
    <row r="3315" spans="13:18">
      <c r="M3315" s="19"/>
      <c r="N3315" s="19"/>
      <c r="O3315" s="19"/>
      <c r="P3315" s="19"/>
      <c r="Q3315" s="19"/>
      <c r="R3315" s="19"/>
    </row>
    <row r="3316" spans="13:18">
      <c r="M3316" s="19"/>
      <c r="N3316" s="19"/>
      <c r="O3316" s="19"/>
      <c r="P3316" s="19"/>
      <c r="Q3316" s="19"/>
      <c r="R3316" s="19"/>
    </row>
    <row r="3317" spans="13:18">
      <c r="M3317" s="19"/>
      <c r="N3317" s="19"/>
      <c r="O3317" s="19"/>
      <c r="P3317" s="19"/>
      <c r="Q3317" s="19"/>
      <c r="R3317" s="19"/>
    </row>
    <row r="3318" spans="13:18">
      <c r="M3318" s="19"/>
      <c r="N3318" s="19"/>
      <c r="O3318" s="19"/>
      <c r="P3318" s="19"/>
      <c r="Q3318" s="19"/>
      <c r="R3318" s="19"/>
    </row>
    <row r="3319" spans="13:18">
      <c r="M3319" s="19"/>
      <c r="N3319" s="19"/>
      <c r="O3319" s="19"/>
      <c r="P3319" s="19"/>
      <c r="Q3319" s="19"/>
      <c r="R3319" s="19"/>
    </row>
    <row r="3320" spans="13:18">
      <c r="M3320" s="19"/>
      <c r="N3320" s="19"/>
      <c r="O3320" s="19"/>
      <c r="P3320" s="19"/>
      <c r="Q3320" s="19"/>
      <c r="R3320" s="19"/>
    </row>
    <row r="3321" spans="13:18">
      <c r="M3321" s="19"/>
      <c r="N3321" s="19"/>
      <c r="O3321" s="19"/>
      <c r="P3321" s="19"/>
      <c r="Q3321" s="19"/>
      <c r="R3321" s="19"/>
    </row>
    <row r="3322" spans="13:18">
      <c r="M3322" s="19"/>
      <c r="N3322" s="19"/>
      <c r="O3322" s="19"/>
      <c r="P3322" s="19"/>
      <c r="Q3322" s="19"/>
      <c r="R3322" s="19"/>
    </row>
    <row r="3323" spans="13:18">
      <c r="M3323" s="19"/>
      <c r="N3323" s="19"/>
      <c r="O3323" s="19"/>
      <c r="P3323" s="19"/>
      <c r="Q3323" s="19"/>
      <c r="R3323" s="19"/>
    </row>
    <row r="3324" spans="13:18">
      <c r="M3324" s="19"/>
      <c r="N3324" s="19"/>
      <c r="O3324" s="19"/>
      <c r="P3324" s="19"/>
      <c r="Q3324" s="19"/>
      <c r="R3324" s="19"/>
    </row>
    <row r="3325" spans="13:18">
      <c r="M3325" s="19"/>
      <c r="N3325" s="19"/>
      <c r="O3325" s="19"/>
      <c r="P3325" s="19"/>
      <c r="Q3325" s="19"/>
      <c r="R3325" s="19"/>
    </row>
    <row r="3326" spans="13:18">
      <c r="M3326" s="19"/>
      <c r="N3326" s="19"/>
      <c r="O3326" s="19"/>
      <c r="P3326" s="19"/>
      <c r="Q3326" s="19"/>
      <c r="R3326" s="19"/>
    </row>
    <row r="3327" spans="13:18">
      <c r="M3327" s="19"/>
      <c r="N3327" s="19"/>
      <c r="O3327" s="19"/>
      <c r="P3327" s="19"/>
      <c r="Q3327" s="19"/>
      <c r="R3327" s="19"/>
    </row>
    <row r="3328" spans="13:18">
      <c r="M3328" s="19"/>
      <c r="N3328" s="19"/>
      <c r="O3328" s="19"/>
      <c r="P3328" s="19"/>
      <c r="Q3328" s="19"/>
      <c r="R3328" s="19"/>
    </row>
    <row r="3329" spans="13:18">
      <c r="M3329" s="19"/>
      <c r="N3329" s="19"/>
      <c r="O3329" s="19"/>
      <c r="P3329" s="19"/>
      <c r="Q3329" s="19"/>
      <c r="R3329" s="19"/>
    </row>
    <row r="3330" spans="13:18">
      <c r="M3330" s="19"/>
      <c r="N3330" s="19"/>
      <c r="O3330" s="19"/>
      <c r="P3330" s="19"/>
      <c r="Q3330" s="19"/>
      <c r="R3330" s="19"/>
    </row>
    <row r="3331" spans="13:18">
      <c r="M3331" s="19"/>
      <c r="N3331" s="19"/>
      <c r="O3331" s="19"/>
      <c r="P3331" s="19"/>
      <c r="Q3331" s="19"/>
      <c r="R3331" s="19"/>
    </row>
    <row r="3332" spans="13:18">
      <c r="M3332" s="19"/>
      <c r="N3332" s="19"/>
      <c r="O3332" s="19"/>
      <c r="P3332" s="19"/>
      <c r="Q3332" s="19"/>
      <c r="R3332" s="19"/>
    </row>
    <row r="3333" spans="13:18">
      <c r="M3333" s="19"/>
      <c r="N3333" s="19"/>
      <c r="O3333" s="19"/>
      <c r="P3333" s="19"/>
      <c r="Q3333" s="19"/>
      <c r="R3333" s="19"/>
    </row>
    <row r="3334" spans="13:18">
      <c r="M3334" s="19"/>
      <c r="N3334" s="19"/>
      <c r="O3334" s="19"/>
      <c r="P3334" s="19"/>
      <c r="Q3334" s="19"/>
      <c r="R3334" s="19"/>
    </row>
    <row r="3335" spans="13:18">
      <c r="M3335" s="19"/>
      <c r="N3335" s="19"/>
      <c r="O3335" s="19"/>
      <c r="P3335" s="19"/>
      <c r="Q3335" s="19"/>
      <c r="R3335" s="19"/>
    </row>
    <row r="3336" spans="13:18">
      <c r="M3336" s="19"/>
      <c r="N3336" s="19"/>
      <c r="O3336" s="19"/>
      <c r="P3336" s="19"/>
      <c r="Q3336" s="19"/>
      <c r="R3336" s="19"/>
    </row>
    <row r="3337" spans="13:18">
      <c r="M3337" s="19"/>
      <c r="N3337" s="19"/>
      <c r="O3337" s="19"/>
      <c r="P3337" s="19"/>
      <c r="Q3337" s="19"/>
      <c r="R3337" s="19"/>
    </row>
    <row r="3338" spans="13:18">
      <c r="M3338" s="19"/>
      <c r="N3338" s="19"/>
      <c r="O3338" s="19"/>
      <c r="P3338" s="19"/>
      <c r="Q3338" s="19"/>
      <c r="R3338" s="19"/>
    </row>
    <row r="3339" spans="13:18">
      <c r="M3339" s="19"/>
      <c r="N3339" s="19"/>
      <c r="O3339" s="19"/>
      <c r="P3339" s="19"/>
      <c r="Q3339" s="19"/>
      <c r="R3339" s="19"/>
    </row>
    <row r="3340" spans="13:18">
      <c r="M3340" s="19"/>
      <c r="N3340" s="19"/>
      <c r="O3340" s="19"/>
      <c r="P3340" s="19"/>
      <c r="Q3340" s="19"/>
      <c r="R3340" s="19"/>
    </row>
    <row r="3341" spans="13:18">
      <c r="M3341" s="19"/>
      <c r="N3341" s="19"/>
      <c r="O3341" s="19"/>
      <c r="P3341" s="19"/>
      <c r="Q3341" s="19"/>
      <c r="R3341" s="19"/>
    </row>
    <row r="3342" spans="13:18">
      <c r="M3342" s="19"/>
      <c r="N3342" s="19"/>
      <c r="O3342" s="19"/>
      <c r="P3342" s="19"/>
      <c r="Q3342" s="19"/>
      <c r="R3342" s="19"/>
    </row>
    <row r="3343" spans="13:18">
      <c r="M3343" s="19"/>
      <c r="N3343" s="19"/>
      <c r="O3343" s="19"/>
      <c r="P3343" s="19"/>
      <c r="Q3343" s="19"/>
      <c r="R3343" s="19"/>
    </row>
    <row r="3344" spans="13:18">
      <c r="M3344" s="19"/>
      <c r="N3344" s="19"/>
      <c r="O3344" s="19"/>
      <c r="P3344" s="19"/>
      <c r="Q3344" s="19"/>
      <c r="R3344" s="19"/>
    </row>
    <row r="3345" spans="13:18">
      <c r="M3345" s="19"/>
      <c r="N3345" s="19"/>
      <c r="O3345" s="19"/>
      <c r="P3345" s="19"/>
      <c r="Q3345" s="19"/>
      <c r="R3345" s="19"/>
    </row>
    <row r="3346" spans="13:18">
      <c r="M3346" s="19"/>
      <c r="N3346" s="19"/>
      <c r="O3346" s="19"/>
      <c r="P3346" s="19"/>
      <c r="Q3346" s="19"/>
      <c r="R3346" s="19"/>
    </row>
    <row r="3347" spans="13:18">
      <c r="M3347" s="19"/>
      <c r="N3347" s="19"/>
      <c r="O3347" s="19"/>
      <c r="P3347" s="19"/>
      <c r="Q3347" s="19"/>
      <c r="R3347" s="19"/>
    </row>
    <row r="3348" spans="13:18">
      <c r="M3348" s="19"/>
      <c r="N3348" s="19"/>
      <c r="O3348" s="19"/>
      <c r="P3348" s="19"/>
      <c r="Q3348" s="19"/>
      <c r="R3348" s="19"/>
    </row>
    <row r="3349" spans="13:18">
      <c r="M3349" s="19"/>
      <c r="N3349" s="19"/>
      <c r="O3349" s="19"/>
      <c r="P3349" s="19"/>
      <c r="Q3349" s="19"/>
      <c r="R3349" s="19"/>
    </row>
    <row r="3350" spans="13:18">
      <c r="M3350" s="19"/>
      <c r="N3350" s="19"/>
      <c r="O3350" s="19"/>
      <c r="P3350" s="19"/>
      <c r="Q3350" s="19"/>
      <c r="R3350" s="19"/>
    </row>
    <row r="3351" spans="13:18">
      <c r="M3351" s="19"/>
      <c r="N3351" s="19"/>
      <c r="O3351" s="19"/>
      <c r="P3351" s="19"/>
      <c r="Q3351" s="19"/>
      <c r="R3351" s="19"/>
    </row>
    <row r="3352" spans="13:18">
      <c r="M3352" s="19"/>
      <c r="N3352" s="19"/>
      <c r="O3352" s="19"/>
      <c r="P3352" s="19"/>
      <c r="Q3352" s="19"/>
      <c r="R3352" s="19"/>
    </row>
    <row r="3353" spans="13:18">
      <c r="M3353" s="19"/>
      <c r="N3353" s="19"/>
      <c r="O3353" s="19"/>
      <c r="P3353" s="19"/>
      <c r="Q3353" s="19"/>
      <c r="R3353" s="19"/>
    </row>
    <row r="3354" spans="13:18">
      <c r="M3354" s="19"/>
      <c r="N3354" s="19"/>
      <c r="O3354" s="19"/>
      <c r="P3354" s="19"/>
      <c r="Q3354" s="19"/>
      <c r="R3354" s="19"/>
    </row>
    <row r="3355" spans="13:18">
      <c r="M3355" s="19"/>
      <c r="N3355" s="19"/>
      <c r="O3355" s="19"/>
      <c r="P3355" s="19"/>
      <c r="Q3355" s="19"/>
      <c r="R3355" s="19"/>
    </row>
    <row r="3356" spans="13:18">
      <c r="M3356" s="19"/>
      <c r="N3356" s="19"/>
      <c r="O3356" s="19"/>
      <c r="P3356" s="19"/>
      <c r="Q3356" s="19"/>
      <c r="R3356" s="19"/>
    </row>
    <row r="3357" spans="13:18">
      <c r="M3357" s="19"/>
      <c r="N3357" s="19"/>
      <c r="O3357" s="19"/>
      <c r="P3357" s="19"/>
      <c r="Q3357" s="19"/>
      <c r="R3357" s="19"/>
    </row>
    <row r="3358" spans="13:18">
      <c r="M3358" s="19"/>
      <c r="N3358" s="19"/>
      <c r="O3358" s="19"/>
      <c r="P3358" s="19"/>
      <c r="Q3358" s="19"/>
      <c r="R3358" s="19"/>
    </row>
    <row r="3359" spans="13:18">
      <c r="M3359" s="19"/>
      <c r="N3359" s="19"/>
      <c r="O3359" s="19"/>
      <c r="P3359" s="19"/>
      <c r="Q3359" s="19"/>
      <c r="R3359" s="19"/>
    </row>
    <row r="3360" spans="13:18">
      <c r="M3360" s="19"/>
      <c r="N3360" s="19"/>
      <c r="O3360" s="19"/>
      <c r="P3360" s="19"/>
      <c r="Q3360" s="19"/>
      <c r="R3360" s="19"/>
    </row>
    <row r="3361" spans="13:18">
      <c r="M3361" s="19"/>
      <c r="N3361" s="19"/>
      <c r="O3361" s="19"/>
      <c r="P3361" s="19"/>
      <c r="Q3361" s="19"/>
      <c r="R3361" s="19"/>
    </row>
    <row r="3362" spans="13:18">
      <c r="M3362" s="19"/>
      <c r="N3362" s="19"/>
      <c r="O3362" s="19"/>
      <c r="P3362" s="19"/>
      <c r="Q3362" s="19"/>
      <c r="R3362" s="19"/>
    </row>
    <row r="3363" spans="13:18">
      <c r="M3363" s="19"/>
      <c r="N3363" s="19"/>
      <c r="O3363" s="19"/>
      <c r="P3363" s="19"/>
      <c r="Q3363" s="19"/>
      <c r="R3363" s="19"/>
    </row>
    <row r="3364" spans="13:18">
      <c r="M3364" s="19"/>
      <c r="N3364" s="19"/>
      <c r="O3364" s="19"/>
      <c r="P3364" s="19"/>
      <c r="Q3364" s="19"/>
      <c r="R3364" s="19"/>
    </row>
    <row r="3365" spans="13:18">
      <c r="M3365" s="19"/>
      <c r="N3365" s="19"/>
      <c r="O3365" s="19"/>
      <c r="P3365" s="19"/>
      <c r="Q3365" s="19"/>
      <c r="R3365" s="19"/>
    </row>
    <row r="3366" spans="13:18">
      <c r="M3366" s="19"/>
      <c r="N3366" s="19"/>
      <c r="O3366" s="19"/>
      <c r="P3366" s="19"/>
      <c r="Q3366" s="19"/>
      <c r="R3366" s="19"/>
    </row>
    <row r="3367" spans="13:18">
      <c r="M3367" s="19"/>
      <c r="N3367" s="19"/>
      <c r="O3367" s="19"/>
      <c r="P3367" s="19"/>
      <c r="Q3367" s="19"/>
      <c r="R3367" s="19"/>
    </row>
    <row r="3368" spans="13:18">
      <c r="M3368" s="19"/>
      <c r="N3368" s="19"/>
      <c r="O3368" s="19"/>
      <c r="P3368" s="19"/>
      <c r="Q3368" s="19"/>
      <c r="R3368" s="19"/>
    </row>
    <row r="3369" spans="13:18">
      <c r="M3369" s="19"/>
      <c r="N3369" s="19"/>
      <c r="O3369" s="19"/>
      <c r="P3369" s="19"/>
      <c r="Q3369" s="19"/>
      <c r="R3369" s="19"/>
    </row>
    <row r="3370" spans="13:18">
      <c r="M3370" s="19"/>
      <c r="N3370" s="19"/>
      <c r="O3370" s="19"/>
      <c r="P3370" s="19"/>
      <c r="Q3370" s="19"/>
      <c r="R3370" s="19"/>
    </row>
    <row r="3371" spans="13:18">
      <c r="M3371" s="19"/>
      <c r="N3371" s="19"/>
      <c r="O3371" s="19"/>
      <c r="P3371" s="19"/>
      <c r="Q3371" s="19"/>
      <c r="R3371" s="19"/>
    </row>
    <row r="3372" spans="13:18">
      <c r="M3372" s="19"/>
      <c r="N3372" s="19"/>
      <c r="O3372" s="19"/>
      <c r="P3372" s="19"/>
      <c r="Q3372" s="19"/>
      <c r="R3372" s="19"/>
    </row>
    <row r="3373" spans="13:18">
      <c r="M3373" s="19"/>
      <c r="N3373" s="19"/>
      <c r="O3373" s="19"/>
      <c r="P3373" s="19"/>
      <c r="Q3373" s="19"/>
      <c r="R3373" s="19"/>
    </row>
    <row r="3374" spans="13:18">
      <c r="M3374" s="19"/>
      <c r="N3374" s="19"/>
      <c r="O3374" s="19"/>
      <c r="P3374" s="19"/>
      <c r="Q3374" s="19"/>
      <c r="R3374" s="19"/>
    </row>
    <row r="3375" spans="13:18">
      <c r="M3375" s="19"/>
      <c r="N3375" s="19"/>
      <c r="O3375" s="19"/>
      <c r="P3375" s="19"/>
      <c r="Q3375" s="19"/>
      <c r="R3375" s="19"/>
    </row>
    <row r="3376" spans="13:18">
      <c r="M3376" s="19"/>
      <c r="N3376" s="19"/>
      <c r="O3376" s="19"/>
      <c r="P3376" s="19"/>
      <c r="Q3376" s="19"/>
      <c r="R3376" s="19"/>
    </row>
    <row r="3377" spans="13:18">
      <c r="M3377" s="19"/>
      <c r="N3377" s="19"/>
      <c r="O3377" s="19"/>
      <c r="P3377" s="19"/>
      <c r="Q3377" s="19"/>
      <c r="R3377" s="19"/>
    </row>
    <row r="3378" spans="13:18">
      <c r="M3378" s="19"/>
      <c r="N3378" s="19"/>
      <c r="O3378" s="19"/>
      <c r="P3378" s="19"/>
      <c r="Q3378" s="19"/>
      <c r="R3378" s="19"/>
    </row>
    <row r="3379" spans="13:18">
      <c r="M3379" s="19"/>
      <c r="N3379" s="19"/>
      <c r="O3379" s="19"/>
      <c r="P3379" s="19"/>
      <c r="Q3379" s="19"/>
      <c r="R3379" s="19"/>
    </row>
    <row r="3380" spans="13:18">
      <c r="M3380" s="19"/>
      <c r="N3380" s="19"/>
      <c r="O3380" s="19"/>
      <c r="P3380" s="19"/>
      <c r="Q3380" s="19"/>
      <c r="R3380" s="19"/>
    </row>
    <row r="3381" spans="13:18">
      <c r="M3381" s="19"/>
      <c r="N3381" s="19"/>
      <c r="O3381" s="19"/>
      <c r="P3381" s="19"/>
      <c r="Q3381" s="19"/>
      <c r="R3381" s="19"/>
    </row>
    <row r="3382" spans="13:18">
      <c r="M3382" s="19"/>
      <c r="N3382" s="19"/>
      <c r="O3382" s="19"/>
      <c r="P3382" s="19"/>
      <c r="Q3382" s="19"/>
      <c r="R3382" s="19"/>
    </row>
    <row r="3383" spans="13:18">
      <c r="M3383" s="19"/>
      <c r="N3383" s="19"/>
      <c r="O3383" s="19"/>
      <c r="P3383" s="19"/>
      <c r="Q3383" s="19"/>
      <c r="R3383" s="19"/>
    </row>
    <row r="3384" spans="13:18">
      <c r="M3384" s="19"/>
      <c r="N3384" s="19"/>
      <c r="O3384" s="19"/>
      <c r="P3384" s="19"/>
      <c r="Q3384" s="19"/>
      <c r="R3384" s="19"/>
    </row>
    <row r="3385" spans="13:18">
      <c r="M3385" s="19"/>
      <c r="N3385" s="19"/>
      <c r="O3385" s="19"/>
      <c r="P3385" s="19"/>
      <c r="Q3385" s="19"/>
      <c r="R3385" s="19"/>
    </row>
    <row r="3386" spans="13:18">
      <c r="M3386" s="19"/>
      <c r="N3386" s="19"/>
      <c r="O3386" s="19"/>
      <c r="P3386" s="19"/>
      <c r="Q3386" s="19"/>
      <c r="R3386" s="19"/>
    </row>
    <row r="3387" spans="13:18">
      <c r="M3387" s="19"/>
      <c r="N3387" s="19"/>
      <c r="O3387" s="19"/>
      <c r="P3387" s="19"/>
      <c r="Q3387" s="19"/>
      <c r="R3387" s="19"/>
    </row>
    <row r="3388" spans="13:18">
      <c r="M3388" s="19"/>
      <c r="N3388" s="19"/>
      <c r="O3388" s="19"/>
      <c r="P3388" s="19"/>
      <c r="Q3388" s="19"/>
      <c r="R3388" s="19"/>
    </row>
    <row r="3389" spans="13:18">
      <c r="M3389" s="19"/>
      <c r="N3389" s="19"/>
      <c r="O3389" s="19"/>
      <c r="P3389" s="19"/>
      <c r="Q3389" s="19"/>
      <c r="R3389" s="19"/>
    </row>
    <row r="3390" spans="13:18">
      <c r="M3390" s="19"/>
      <c r="N3390" s="19"/>
      <c r="O3390" s="19"/>
      <c r="P3390" s="19"/>
      <c r="Q3390" s="19"/>
      <c r="R3390" s="19"/>
    </row>
    <row r="3391" spans="13:18">
      <c r="M3391" s="19"/>
      <c r="N3391" s="19"/>
      <c r="O3391" s="19"/>
      <c r="P3391" s="19"/>
      <c r="Q3391" s="19"/>
      <c r="R3391" s="19"/>
    </row>
    <row r="3392" spans="13:18">
      <c r="M3392" s="19"/>
      <c r="N3392" s="19"/>
      <c r="O3392" s="19"/>
      <c r="P3392" s="19"/>
      <c r="Q3392" s="19"/>
      <c r="R3392" s="19"/>
    </row>
    <row r="3393" spans="13:18">
      <c r="M3393" s="19"/>
      <c r="N3393" s="19"/>
      <c r="O3393" s="19"/>
      <c r="P3393" s="19"/>
      <c r="Q3393" s="19"/>
      <c r="R3393" s="19"/>
    </row>
    <row r="3394" spans="13:18">
      <c r="M3394" s="19"/>
      <c r="N3394" s="19"/>
      <c r="O3394" s="19"/>
      <c r="P3394" s="19"/>
      <c r="Q3394" s="19"/>
      <c r="R3394" s="19"/>
    </row>
    <row r="3395" spans="13:18">
      <c r="M3395" s="19"/>
      <c r="N3395" s="19"/>
      <c r="O3395" s="19"/>
      <c r="P3395" s="19"/>
      <c r="Q3395" s="19"/>
      <c r="R3395" s="19"/>
    </row>
    <row r="3396" spans="13:18">
      <c r="M3396" s="19"/>
      <c r="N3396" s="19"/>
      <c r="O3396" s="19"/>
      <c r="P3396" s="19"/>
      <c r="Q3396" s="19"/>
      <c r="R3396" s="19"/>
    </row>
    <row r="3397" spans="13:18">
      <c r="M3397" s="19"/>
      <c r="N3397" s="19"/>
      <c r="O3397" s="19"/>
      <c r="P3397" s="19"/>
      <c r="Q3397" s="19"/>
      <c r="R3397" s="19"/>
    </row>
    <row r="3398" spans="13:18">
      <c r="M3398" s="19"/>
      <c r="N3398" s="19"/>
      <c r="O3398" s="19"/>
      <c r="P3398" s="19"/>
      <c r="Q3398" s="19"/>
      <c r="R3398" s="19"/>
    </row>
    <row r="3399" spans="13:18">
      <c r="M3399" s="19"/>
      <c r="N3399" s="19"/>
      <c r="O3399" s="19"/>
      <c r="P3399" s="19"/>
      <c r="Q3399" s="19"/>
      <c r="R3399" s="19"/>
    </row>
    <row r="3400" spans="13:18">
      <c r="M3400" s="19"/>
      <c r="N3400" s="19"/>
      <c r="O3400" s="19"/>
      <c r="P3400" s="19"/>
      <c r="Q3400" s="19"/>
      <c r="R3400" s="19"/>
    </row>
    <row r="3401" spans="13:18">
      <c r="M3401" s="19"/>
      <c r="N3401" s="19"/>
      <c r="O3401" s="19"/>
      <c r="P3401" s="19"/>
      <c r="Q3401" s="19"/>
      <c r="R3401" s="19"/>
    </row>
    <row r="3402" spans="13:18">
      <c r="M3402" s="19"/>
      <c r="N3402" s="19"/>
      <c r="O3402" s="19"/>
      <c r="P3402" s="19"/>
      <c r="Q3402" s="19"/>
      <c r="R3402" s="19"/>
    </row>
    <row r="3403" spans="13:18">
      <c r="M3403" s="19"/>
      <c r="N3403" s="19"/>
      <c r="O3403" s="19"/>
      <c r="P3403" s="19"/>
      <c r="Q3403" s="19"/>
      <c r="R3403" s="19"/>
    </row>
    <row r="3404" spans="13:18">
      <c r="M3404" s="19"/>
      <c r="N3404" s="19"/>
      <c r="O3404" s="19"/>
      <c r="P3404" s="19"/>
      <c r="Q3404" s="19"/>
      <c r="R3404" s="19"/>
    </row>
    <row r="3405" spans="13:18">
      <c r="M3405" s="19"/>
      <c r="N3405" s="19"/>
      <c r="O3405" s="19"/>
      <c r="P3405" s="19"/>
      <c r="Q3405" s="19"/>
      <c r="R3405" s="19"/>
    </row>
    <row r="3406" spans="13:18">
      <c r="M3406" s="19"/>
      <c r="N3406" s="19"/>
      <c r="O3406" s="19"/>
      <c r="P3406" s="19"/>
      <c r="Q3406" s="19"/>
      <c r="R3406" s="19"/>
    </row>
    <row r="3407" spans="13:18">
      <c r="M3407" s="19"/>
      <c r="N3407" s="19"/>
      <c r="O3407" s="19"/>
      <c r="P3407" s="19"/>
      <c r="Q3407" s="19"/>
      <c r="R3407" s="19"/>
    </row>
    <row r="3408" spans="13:18">
      <c r="M3408" s="19"/>
      <c r="N3408" s="19"/>
      <c r="O3408" s="19"/>
      <c r="P3408" s="19"/>
      <c r="Q3408" s="19"/>
      <c r="R3408" s="19"/>
    </row>
    <row r="3409" spans="13:18">
      <c r="M3409" s="19"/>
      <c r="N3409" s="19"/>
      <c r="O3409" s="19"/>
      <c r="P3409" s="19"/>
      <c r="Q3409" s="19"/>
      <c r="R3409" s="19"/>
    </row>
    <row r="3410" spans="13:18">
      <c r="M3410" s="19"/>
      <c r="N3410" s="19"/>
      <c r="O3410" s="19"/>
      <c r="P3410" s="19"/>
      <c r="Q3410" s="19"/>
      <c r="R3410" s="19"/>
    </row>
    <row r="3411" spans="13:18">
      <c r="M3411" s="19"/>
      <c r="N3411" s="19"/>
      <c r="O3411" s="19"/>
      <c r="P3411" s="19"/>
      <c r="Q3411" s="19"/>
      <c r="R3411" s="19"/>
    </row>
    <row r="3412" spans="13:18">
      <c r="M3412" s="19"/>
      <c r="N3412" s="19"/>
      <c r="O3412" s="19"/>
      <c r="P3412" s="19"/>
      <c r="Q3412" s="19"/>
      <c r="R3412" s="19"/>
    </row>
    <row r="3413" spans="13:18">
      <c r="M3413" s="19"/>
      <c r="N3413" s="19"/>
      <c r="O3413" s="19"/>
      <c r="P3413" s="19"/>
      <c r="Q3413" s="19"/>
      <c r="R3413" s="19"/>
    </row>
    <row r="3414" spans="13:18">
      <c r="M3414" s="19"/>
      <c r="N3414" s="19"/>
      <c r="O3414" s="19"/>
      <c r="P3414" s="19"/>
      <c r="Q3414" s="19"/>
      <c r="R3414" s="19"/>
    </row>
    <row r="3415" spans="13:18">
      <c r="M3415" s="19"/>
      <c r="N3415" s="19"/>
      <c r="O3415" s="19"/>
      <c r="P3415" s="19"/>
      <c r="Q3415" s="19"/>
      <c r="R3415" s="19"/>
    </row>
    <row r="3416" spans="13:18">
      <c r="M3416" s="19"/>
      <c r="N3416" s="19"/>
      <c r="O3416" s="19"/>
      <c r="P3416" s="19"/>
      <c r="Q3416" s="19"/>
      <c r="R3416" s="19"/>
    </row>
    <row r="3417" spans="13:18">
      <c r="M3417" s="19"/>
      <c r="N3417" s="19"/>
      <c r="O3417" s="19"/>
      <c r="P3417" s="19"/>
      <c r="Q3417" s="19"/>
      <c r="R3417" s="19"/>
    </row>
    <row r="3418" spans="13:18">
      <c r="M3418" s="19"/>
      <c r="N3418" s="19"/>
      <c r="O3418" s="19"/>
      <c r="P3418" s="19"/>
      <c r="Q3418" s="19"/>
      <c r="R3418" s="19"/>
    </row>
    <row r="3419" spans="13:18">
      <c r="M3419" s="19"/>
      <c r="N3419" s="19"/>
      <c r="O3419" s="19"/>
      <c r="P3419" s="19"/>
      <c r="Q3419" s="19"/>
      <c r="R3419" s="19"/>
    </row>
    <row r="3420" spans="13:18">
      <c r="M3420" s="19"/>
      <c r="N3420" s="19"/>
      <c r="O3420" s="19"/>
      <c r="P3420" s="19"/>
      <c r="Q3420" s="19"/>
      <c r="R3420" s="19"/>
    </row>
    <row r="3421" spans="13:18">
      <c r="M3421" s="19"/>
      <c r="N3421" s="19"/>
      <c r="O3421" s="19"/>
      <c r="P3421" s="19"/>
      <c r="Q3421" s="19"/>
      <c r="R3421" s="19"/>
    </row>
    <row r="3422" spans="13:18">
      <c r="M3422" s="19"/>
      <c r="N3422" s="19"/>
      <c r="O3422" s="19"/>
      <c r="P3422" s="19"/>
      <c r="Q3422" s="19"/>
      <c r="R3422" s="19"/>
    </row>
    <row r="3423" spans="13:18">
      <c r="M3423" s="19"/>
      <c r="N3423" s="19"/>
      <c r="O3423" s="19"/>
      <c r="P3423" s="19"/>
      <c r="Q3423" s="19"/>
      <c r="R3423" s="19"/>
    </row>
    <row r="3424" spans="13:18">
      <c r="M3424" s="19"/>
      <c r="N3424" s="19"/>
      <c r="O3424" s="19"/>
      <c r="P3424" s="19"/>
      <c r="Q3424" s="19"/>
      <c r="R3424" s="19"/>
    </row>
    <row r="3425" spans="13:18">
      <c r="M3425" s="19"/>
      <c r="N3425" s="19"/>
      <c r="O3425" s="19"/>
      <c r="P3425" s="19"/>
      <c r="Q3425" s="19"/>
      <c r="R3425" s="19"/>
    </row>
    <row r="3426" spans="13:18">
      <c r="M3426" s="19"/>
      <c r="N3426" s="19"/>
      <c r="O3426" s="19"/>
      <c r="P3426" s="19"/>
      <c r="Q3426" s="19"/>
      <c r="R3426" s="19"/>
    </row>
    <row r="3427" spans="13:18">
      <c r="M3427" s="19"/>
      <c r="N3427" s="19"/>
      <c r="O3427" s="19"/>
      <c r="P3427" s="19"/>
      <c r="Q3427" s="19"/>
      <c r="R3427" s="19"/>
    </row>
    <row r="3428" spans="13:18">
      <c r="M3428" s="19"/>
      <c r="N3428" s="19"/>
      <c r="O3428" s="19"/>
      <c r="P3428" s="19"/>
      <c r="Q3428" s="19"/>
      <c r="R3428" s="19"/>
    </row>
    <row r="3429" spans="13:18">
      <c r="M3429" s="19"/>
      <c r="N3429" s="19"/>
      <c r="O3429" s="19"/>
      <c r="P3429" s="19"/>
      <c r="Q3429" s="19"/>
      <c r="R3429" s="19"/>
    </row>
    <row r="3430" spans="13:18">
      <c r="M3430" s="19"/>
      <c r="N3430" s="19"/>
      <c r="O3430" s="19"/>
      <c r="P3430" s="19"/>
      <c r="Q3430" s="19"/>
      <c r="R3430" s="19"/>
    </row>
    <row r="3431" spans="13:18">
      <c r="M3431" s="19"/>
      <c r="N3431" s="19"/>
      <c r="O3431" s="19"/>
      <c r="P3431" s="19"/>
      <c r="Q3431" s="19"/>
      <c r="R3431" s="19"/>
    </row>
    <row r="3432" spans="13:18">
      <c r="M3432" s="19"/>
      <c r="N3432" s="19"/>
      <c r="O3432" s="19"/>
      <c r="P3432" s="19"/>
      <c r="Q3432" s="19"/>
      <c r="R3432" s="19"/>
    </row>
    <row r="3433" spans="13:18">
      <c r="M3433" s="19"/>
      <c r="N3433" s="19"/>
      <c r="O3433" s="19"/>
      <c r="P3433" s="19"/>
      <c r="Q3433" s="19"/>
      <c r="R3433" s="19"/>
    </row>
    <row r="3434" spans="13:18">
      <c r="M3434" s="19"/>
      <c r="N3434" s="19"/>
      <c r="O3434" s="19"/>
      <c r="P3434" s="19"/>
      <c r="Q3434" s="19"/>
      <c r="R3434" s="19"/>
    </row>
    <row r="3435" spans="13:18">
      <c r="M3435" s="19"/>
      <c r="N3435" s="19"/>
      <c r="O3435" s="19"/>
      <c r="P3435" s="19"/>
      <c r="Q3435" s="19"/>
      <c r="R3435" s="19"/>
    </row>
    <row r="3436" spans="13:18">
      <c r="M3436" s="19"/>
      <c r="N3436" s="19"/>
      <c r="O3436" s="19"/>
      <c r="P3436" s="19"/>
      <c r="Q3436" s="19"/>
      <c r="R3436" s="19"/>
    </row>
    <row r="3437" spans="13:18">
      <c r="M3437" s="19"/>
      <c r="N3437" s="19"/>
      <c r="O3437" s="19"/>
      <c r="P3437" s="19"/>
      <c r="Q3437" s="19"/>
      <c r="R3437" s="19"/>
    </row>
    <row r="3438" spans="13:18">
      <c r="M3438" s="19"/>
      <c r="N3438" s="19"/>
      <c r="O3438" s="19"/>
      <c r="P3438" s="19"/>
      <c r="Q3438" s="19"/>
      <c r="R3438" s="19"/>
    </row>
    <row r="3439" spans="13:18">
      <c r="M3439" s="19"/>
      <c r="N3439" s="19"/>
      <c r="O3439" s="19"/>
      <c r="P3439" s="19"/>
      <c r="Q3439" s="19"/>
      <c r="R3439" s="19"/>
    </row>
    <row r="3440" spans="13:18">
      <c r="M3440" s="19"/>
      <c r="N3440" s="19"/>
      <c r="O3440" s="19"/>
      <c r="P3440" s="19"/>
      <c r="Q3440" s="19"/>
      <c r="R3440" s="19"/>
    </row>
    <row r="3441" spans="13:18">
      <c r="M3441" s="19"/>
      <c r="N3441" s="19"/>
      <c r="O3441" s="19"/>
      <c r="P3441" s="19"/>
      <c r="Q3441" s="19"/>
      <c r="R3441" s="19"/>
    </row>
    <row r="3442" spans="13:18">
      <c r="M3442" s="19"/>
      <c r="N3442" s="19"/>
      <c r="O3442" s="19"/>
      <c r="P3442" s="19"/>
      <c r="Q3442" s="19"/>
      <c r="R3442" s="19"/>
    </row>
    <row r="3443" spans="13:18">
      <c r="M3443" s="19"/>
      <c r="N3443" s="19"/>
      <c r="O3443" s="19"/>
      <c r="P3443" s="19"/>
      <c r="Q3443" s="19"/>
      <c r="R3443" s="19"/>
    </row>
    <row r="3444" spans="13:18">
      <c r="M3444" s="19"/>
      <c r="N3444" s="19"/>
      <c r="O3444" s="19"/>
      <c r="P3444" s="19"/>
      <c r="Q3444" s="19"/>
      <c r="R3444" s="19"/>
    </row>
    <row r="3445" spans="13:18">
      <c r="M3445" s="19"/>
      <c r="N3445" s="19"/>
      <c r="O3445" s="19"/>
      <c r="P3445" s="19"/>
      <c r="Q3445" s="19"/>
      <c r="R3445" s="19"/>
    </row>
    <row r="3446" spans="13:18">
      <c r="M3446" s="19"/>
      <c r="N3446" s="19"/>
      <c r="O3446" s="19"/>
      <c r="P3446" s="19"/>
      <c r="Q3446" s="19"/>
      <c r="R3446" s="19"/>
    </row>
    <row r="3447" spans="13:18">
      <c r="M3447" s="19"/>
      <c r="N3447" s="19"/>
      <c r="O3447" s="19"/>
      <c r="P3447" s="19"/>
      <c r="Q3447" s="19"/>
      <c r="R3447" s="19"/>
    </row>
    <row r="3448" spans="13:18">
      <c r="M3448" s="19"/>
      <c r="N3448" s="19"/>
      <c r="O3448" s="19"/>
      <c r="P3448" s="19"/>
      <c r="Q3448" s="19"/>
      <c r="R3448" s="19"/>
    </row>
    <row r="3449" spans="13:18">
      <c r="M3449" s="19"/>
      <c r="N3449" s="19"/>
      <c r="O3449" s="19"/>
      <c r="P3449" s="19"/>
      <c r="Q3449" s="19"/>
      <c r="R3449" s="19"/>
    </row>
    <row r="3450" spans="13:18">
      <c r="M3450" s="19"/>
      <c r="N3450" s="19"/>
      <c r="O3450" s="19"/>
      <c r="P3450" s="19"/>
      <c r="Q3450" s="19"/>
      <c r="R3450" s="19"/>
    </row>
    <row r="3451" spans="13:18">
      <c r="M3451" s="19"/>
      <c r="N3451" s="19"/>
      <c r="O3451" s="19"/>
      <c r="P3451" s="19"/>
      <c r="Q3451" s="19"/>
      <c r="R3451" s="19"/>
    </row>
    <row r="3452" spans="13:18">
      <c r="M3452" s="19"/>
      <c r="N3452" s="19"/>
      <c r="O3452" s="19"/>
      <c r="P3452" s="19"/>
      <c r="Q3452" s="19"/>
      <c r="R3452" s="19"/>
    </row>
    <row r="3453" spans="13:18">
      <c r="M3453" s="19"/>
      <c r="N3453" s="19"/>
      <c r="O3453" s="19"/>
      <c r="P3453" s="19"/>
      <c r="Q3453" s="19"/>
      <c r="R3453" s="19"/>
    </row>
    <row r="3454" spans="13:18">
      <c r="M3454" s="19"/>
      <c r="N3454" s="19"/>
      <c r="O3454" s="19"/>
      <c r="P3454" s="19"/>
      <c r="Q3454" s="19"/>
      <c r="R3454" s="19"/>
    </row>
    <row r="3455" spans="13:18">
      <c r="M3455" s="19"/>
      <c r="N3455" s="19"/>
      <c r="O3455" s="19"/>
      <c r="P3455" s="19"/>
      <c r="Q3455" s="19"/>
      <c r="R3455" s="19"/>
    </row>
    <row r="3456" spans="13:18">
      <c r="M3456" s="19"/>
      <c r="N3456" s="19"/>
      <c r="O3456" s="19"/>
      <c r="P3456" s="19"/>
      <c r="Q3456" s="19"/>
      <c r="R3456" s="19"/>
    </row>
    <row r="3457" spans="13:18">
      <c r="M3457" s="19"/>
      <c r="N3457" s="19"/>
      <c r="O3457" s="19"/>
      <c r="P3457" s="19"/>
      <c r="Q3457" s="19"/>
      <c r="R3457" s="19"/>
    </row>
    <row r="3458" spans="13:18">
      <c r="M3458" s="19"/>
      <c r="N3458" s="19"/>
      <c r="O3458" s="19"/>
      <c r="P3458" s="19"/>
      <c r="Q3458" s="19"/>
      <c r="R3458" s="19"/>
    </row>
    <row r="3459" spans="13:18">
      <c r="M3459" s="19"/>
      <c r="N3459" s="19"/>
      <c r="O3459" s="19"/>
      <c r="P3459" s="19"/>
      <c r="Q3459" s="19"/>
      <c r="R3459" s="19"/>
    </row>
    <row r="3460" spans="13:18">
      <c r="M3460" s="19"/>
      <c r="N3460" s="19"/>
      <c r="O3460" s="19"/>
      <c r="P3460" s="19"/>
      <c r="Q3460" s="19"/>
      <c r="R3460" s="19"/>
    </row>
    <row r="3461" spans="13:18">
      <c r="M3461" s="19"/>
      <c r="N3461" s="19"/>
      <c r="O3461" s="19"/>
      <c r="P3461" s="19"/>
      <c r="Q3461" s="19"/>
      <c r="R3461" s="19"/>
    </row>
    <row r="3462" spans="13:18">
      <c r="M3462" s="19"/>
      <c r="N3462" s="19"/>
      <c r="O3462" s="19"/>
      <c r="P3462" s="19"/>
      <c r="Q3462" s="19"/>
      <c r="R3462" s="19"/>
    </row>
    <row r="3463" spans="13:18">
      <c r="M3463" s="19"/>
      <c r="N3463" s="19"/>
      <c r="O3463" s="19"/>
      <c r="P3463" s="19"/>
      <c r="Q3463" s="19"/>
      <c r="R3463" s="19"/>
    </row>
    <row r="3464" spans="13:18">
      <c r="M3464" s="19"/>
      <c r="N3464" s="19"/>
      <c r="O3464" s="19"/>
      <c r="P3464" s="19"/>
      <c r="Q3464" s="19"/>
      <c r="R3464" s="19"/>
    </row>
    <row r="3465" spans="13:18">
      <c r="M3465" s="19"/>
      <c r="N3465" s="19"/>
      <c r="O3465" s="19"/>
      <c r="P3465" s="19"/>
      <c r="Q3465" s="19"/>
      <c r="R3465" s="19"/>
    </row>
    <row r="3466" spans="13:18">
      <c r="M3466" s="19"/>
      <c r="N3466" s="19"/>
      <c r="O3466" s="19"/>
      <c r="P3466" s="19"/>
      <c r="Q3466" s="19"/>
      <c r="R3466" s="19"/>
    </row>
    <row r="3467" spans="13:18">
      <c r="M3467" s="19"/>
      <c r="N3467" s="19"/>
      <c r="O3467" s="19"/>
      <c r="P3467" s="19"/>
      <c r="Q3467" s="19"/>
      <c r="R3467" s="19"/>
    </row>
    <row r="3468" spans="13:18">
      <c r="M3468" s="19"/>
      <c r="N3468" s="19"/>
      <c r="O3468" s="19"/>
      <c r="P3468" s="19"/>
      <c r="Q3468" s="19"/>
      <c r="R3468" s="19"/>
    </row>
    <row r="3469" spans="13:18">
      <c r="M3469" s="19"/>
      <c r="N3469" s="19"/>
      <c r="O3469" s="19"/>
      <c r="P3469" s="19"/>
      <c r="Q3469" s="19"/>
      <c r="R3469" s="19"/>
    </row>
    <row r="3470" spans="13:18">
      <c r="M3470" s="19"/>
      <c r="N3470" s="19"/>
      <c r="O3470" s="19"/>
      <c r="P3470" s="19"/>
      <c r="Q3470" s="19"/>
      <c r="R3470" s="19"/>
    </row>
    <row r="3471" spans="13:18">
      <c r="M3471" s="19"/>
      <c r="N3471" s="19"/>
      <c r="O3471" s="19"/>
      <c r="P3471" s="19"/>
      <c r="Q3471" s="19"/>
      <c r="R3471" s="19"/>
    </row>
    <row r="3472" spans="13:18">
      <c r="M3472" s="19"/>
      <c r="N3472" s="19"/>
      <c r="O3472" s="19"/>
      <c r="P3472" s="19"/>
      <c r="Q3472" s="19"/>
      <c r="R3472" s="19"/>
    </row>
    <row r="3473" spans="13:18">
      <c r="M3473" s="19"/>
      <c r="N3473" s="19"/>
      <c r="O3473" s="19"/>
      <c r="P3473" s="19"/>
      <c r="Q3473" s="19"/>
      <c r="R3473" s="19"/>
    </row>
    <row r="3474" spans="13:18">
      <c r="M3474" s="19"/>
      <c r="N3474" s="19"/>
      <c r="O3474" s="19"/>
      <c r="P3474" s="19"/>
      <c r="Q3474" s="19"/>
      <c r="R3474" s="19"/>
    </row>
    <row r="3475" spans="13:18">
      <c r="M3475" s="19"/>
      <c r="N3475" s="19"/>
      <c r="O3475" s="19"/>
      <c r="P3475" s="19"/>
      <c r="Q3475" s="19"/>
      <c r="R3475" s="19"/>
    </row>
    <row r="3476" spans="13:18">
      <c r="M3476" s="19"/>
      <c r="N3476" s="19"/>
      <c r="O3476" s="19"/>
      <c r="P3476" s="19"/>
      <c r="Q3476" s="19"/>
      <c r="R3476" s="19"/>
    </row>
    <row r="3477" spans="13:18">
      <c r="M3477" s="19"/>
      <c r="N3477" s="19"/>
      <c r="O3477" s="19"/>
      <c r="P3477" s="19"/>
      <c r="Q3477" s="19"/>
      <c r="R3477" s="19"/>
    </row>
    <row r="3478" spans="13:18">
      <c r="M3478" s="19"/>
      <c r="N3478" s="19"/>
      <c r="O3478" s="19"/>
      <c r="P3478" s="19"/>
      <c r="Q3478" s="19"/>
      <c r="R3478" s="19"/>
    </row>
    <row r="3479" spans="13:18">
      <c r="M3479" s="19"/>
      <c r="N3479" s="19"/>
      <c r="O3479" s="19"/>
      <c r="P3479" s="19"/>
      <c r="Q3479" s="19"/>
      <c r="R3479" s="19"/>
    </row>
    <row r="3480" spans="13:18">
      <c r="M3480" s="19"/>
      <c r="N3480" s="19"/>
      <c r="O3480" s="19"/>
      <c r="P3480" s="19"/>
      <c r="Q3480" s="19"/>
      <c r="R3480" s="19"/>
    </row>
    <row r="3481" spans="13:18">
      <c r="M3481" s="19"/>
      <c r="N3481" s="19"/>
      <c r="O3481" s="19"/>
      <c r="P3481" s="19"/>
      <c r="Q3481" s="19"/>
      <c r="R3481" s="19"/>
    </row>
    <row r="3482" spans="13:18">
      <c r="M3482" s="19"/>
      <c r="N3482" s="19"/>
      <c r="O3482" s="19"/>
      <c r="P3482" s="19"/>
      <c r="Q3482" s="19"/>
      <c r="R3482" s="19"/>
    </row>
    <row r="3483" spans="13:18">
      <c r="M3483" s="19"/>
      <c r="N3483" s="19"/>
      <c r="O3483" s="19"/>
      <c r="P3483" s="19"/>
      <c r="Q3483" s="19"/>
      <c r="R3483" s="19"/>
    </row>
    <row r="3484" spans="13:18">
      <c r="M3484" s="19"/>
      <c r="N3484" s="19"/>
      <c r="O3484" s="19"/>
      <c r="P3484" s="19"/>
      <c r="Q3484" s="19"/>
      <c r="R3484" s="19"/>
    </row>
    <row r="3485" spans="13:18">
      <c r="M3485" s="19"/>
      <c r="N3485" s="19"/>
      <c r="O3485" s="19"/>
      <c r="P3485" s="19"/>
      <c r="Q3485" s="19"/>
      <c r="R3485" s="19"/>
    </row>
    <row r="3486" spans="13:18">
      <c r="M3486" s="19"/>
      <c r="N3486" s="19"/>
      <c r="O3486" s="19"/>
      <c r="P3486" s="19"/>
      <c r="Q3486" s="19"/>
      <c r="R3486" s="19"/>
    </row>
    <row r="3487" spans="13:18">
      <c r="M3487" s="19"/>
      <c r="N3487" s="19"/>
      <c r="O3487" s="19"/>
      <c r="P3487" s="19"/>
      <c r="Q3487" s="19"/>
      <c r="R3487" s="19"/>
    </row>
    <row r="3488" spans="13:18">
      <c r="M3488" s="19"/>
      <c r="N3488" s="19"/>
      <c r="O3488" s="19"/>
      <c r="P3488" s="19"/>
      <c r="Q3488" s="19"/>
      <c r="R3488" s="19"/>
    </row>
    <row r="3489" spans="13:18">
      <c r="M3489" s="19"/>
      <c r="N3489" s="19"/>
      <c r="O3489" s="19"/>
      <c r="P3489" s="19"/>
      <c r="Q3489" s="19"/>
      <c r="R3489" s="19"/>
    </row>
    <row r="3490" spans="13:18">
      <c r="M3490" s="19"/>
      <c r="N3490" s="19"/>
      <c r="O3490" s="19"/>
      <c r="P3490" s="19"/>
      <c r="Q3490" s="19"/>
      <c r="R3490" s="19"/>
    </row>
    <row r="3491" spans="13:18">
      <c r="M3491" s="19"/>
      <c r="N3491" s="19"/>
      <c r="O3491" s="19"/>
      <c r="P3491" s="19"/>
      <c r="Q3491" s="19"/>
      <c r="R3491" s="19"/>
    </row>
    <row r="3492" spans="13:18">
      <c r="M3492" s="19"/>
      <c r="N3492" s="19"/>
      <c r="O3492" s="19"/>
      <c r="P3492" s="19"/>
      <c r="Q3492" s="19"/>
      <c r="R3492" s="19"/>
    </row>
    <row r="3493" spans="13:18">
      <c r="M3493" s="19"/>
      <c r="N3493" s="19"/>
      <c r="O3493" s="19"/>
      <c r="P3493" s="19"/>
      <c r="Q3493" s="19"/>
      <c r="R3493" s="19"/>
    </row>
    <row r="3494" spans="13:18">
      <c r="M3494" s="19"/>
      <c r="N3494" s="19"/>
      <c r="O3494" s="19"/>
      <c r="P3494" s="19"/>
      <c r="Q3494" s="19"/>
      <c r="R3494" s="19"/>
    </row>
    <row r="3495" spans="13:18">
      <c r="M3495" s="19"/>
      <c r="N3495" s="19"/>
      <c r="O3495" s="19"/>
      <c r="P3495" s="19"/>
      <c r="Q3495" s="19"/>
      <c r="R3495" s="19"/>
    </row>
    <row r="3496" spans="13:18">
      <c r="M3496" s="19"/>
      <c r="N3496" s="19"/>
      <c r="O3496" s="19"/>
      <c r="P3496" s="19"/>
      <c r="Q3496" s="19"/>
      <c r="R3496" s="19"/>
    </row>
    <row r="3497" spans="13:18">
      <c r="M3497" s="19"/>
      <c r="N3497" s="19"/>
      <c r="O3497" s="19"/>
      <c r="P3497" s="19"/>
      <c r="Q3497" s="19"/>
      <c r="R3497" s="19"/>
    </row>
    <row r="3498" spans="13:18">
      <c r="M3498" s="19"/>
      <c r="N3498" s="19"/>
      <c r="O3498" s="19"/>
      <c r="P3498" s="19"/>
      <c r="Q3498" s="19"/>
      <c r="R3498" s="19"/>
    </row>
    <row r="3499" spans="13:18">
      <c r="M3499" s="19"/>
      <c r="N3499" s="19"/>
      <c r="O3499" s="19"/>
      <c r="P3499" s="19"/>
      <c r="Q3499" s="19"/>
      <c r="R3499" s="19"/>
    </row>
    <row r="3500" spans="13:18">
      <c r="M3500" s="19"/>
      <c r="N3500" s="19"/>
      <c r="O3500" s="19"/>
      <c r="P3500" s="19"/>
      <c r="Q3500" s="19"/>
      <c r="R3500" s="19"/>
    </row>
    <row r="3501" spans="13:18">
      <c r="M3501" s="19"/>
      <c r="N3501" s="19"/>
      <c r="O3501" s="19"/>
      <c r="P3501" s="19"/>
      <c r="Q3501" s="19"/>
      <c r="R3501" s="19"/>
    </row>
    <row r="3502" spans="13:18">
      <c r="M3502" s="19"/>
      <c r="N3502" s="19"/>
      <c r="O3502" s="19"/>
      <c r="P3502" s="19"/>
      <c r="Q3502" s="19"/>
      <c r="R3502" s="19"/>
    </row>
    <row r="3503" spans="13:18">
      <c r="M3503" s="19"/>
      <c r="N3503" s="19"/>
      <c r="O3503" s="19"/>
      <c r="P3503" s="19"/>
      <c r="Q3503" s="19"/>
      <c r="R3503" s="19"/>
    </row>
    <row r="3504" spans="13:18">
      <c r="M3504" s="19"/>
      <c r="N3504" s="19"/>
      <c r="O3504" s="19"/>
      <c r="P3504" s="19"/>
      <c r="Q3504" s="19"/>
      <c r="R3504" s="19"/>
    </row>
    <row r="3505" spans="13:18">
      <c r="M3505" s="19"/>
      <c r="N3505" s="19"/>
      <c r="O3505" s="19"/>
      <c r="P3505" s="19"/>
      <c r="Q3505" s="19"/>
      <c r="R3505" s="19"/>
    </row>
    <row r="3506" spans="13:18">
      <c r="M3506" s="19"/>
      <c r="N3506" s="19"/>
      <c r="O3506" s="19"/>
      <c r="P3506" s="19"/>
      <c r="Q3506" s="19"/>
      <c r="R3506" s="19"/>
    </row>
    <row r="3507" spans="13:18">
      <c r="M3507" s="19"/>
      <c r="N3507" s="19"/>
      <c r="O3507" s="19"/>
      <c r="P3507" s="19"/>
      <c r="Q3507" s="19"/>
      <c r="R3507" s="19"/>
    </row>
    <row r="3508" spans="13:18">
      <c r="M3508" s="19"/>
      <c r="N3508" s="19"/>
      <c r="O3508" s="19"/>
      <c r="P3508" s="19"/>
      <c r="Q3508" s="19"/>
      <c r="R3508" s="19"/>
    </row>
    <row r="3509" spans="13:18">
      <c r="M3509" s="19"/>
      <c r="N3509" s="19"/>
      <c r="O3509" s="19"/>
      <c r="P3509" s="19"/>
      <c r="Q3509" s="19"/>
      <c r="R3509" s="19"/>
    </row>
    <row r="3510" spans="13:18">
      <c r="M3510" s="19"/>
      <c r="N3510" s="19"/>
      <c r="O3510" s="19"/>
      <c r="P3510" s="19"/>
      <c r="Q3510" s="19"/>
      <c r="R3510" s="19"/>
    </row>
    <row r="3511" spans="13:18">
      <c r="M3511" s="19"/>
      <c r="N3511" s="19"/>
      <c r="O3511" s="19"/>
      <c r="P3511" s="19"/>
      <c r="Q3511" s="19"/>
      <c r="R3511" s="19"/>
    </row>
    <row r="3512" spans="13:18">
      <c r="M3512" s="19"/>
      <c r="N3512" s="19"/>
      <c r="O3512" s="19"/>
      <c r="P3512" s="19"/>
      <c r="Q3512" s="19"/>
      <c r="R3512" s="19"/>
    </row>
    <row r="3513" spans="13:18">
      <c r="M3513" s="19"/>
      <c r="N3513" s="19"/>
      <c r="O3513" s="19"/>
      <c r="P3513" s="19"/>
      <c r="Q3513" s="19"/>
      <c r="R3513" s="19"/>
    </row>
    <row r="3514" spans="13:18">
      <c r="M3514" s="19"/>
      <c r="N3514" s="19"/>
      <c r="O3514" s="19"/>
      <c r="P3514" s="19"/>
      <c r="Q3514" s="19"/>
      <c r="R3514" s="19"/>
    </row>
    <row r="3515" spans="13:18">
      <c r="M3515" s="19"/>
      <c r="N3515" s="19"/>
      <c r="O3515" s="19"/>
      <c r="P3515" s="19"/>
      <c r="Q3515" s="19"/>
      <c r="R3515" s="19"/>
    </row>
    <row r="3516" spans="13:18">
      <c r="M3516" s="19"/>
      <c r="N3516" s="19"/>
      <c r="O3516" s="19"/>
      <c r="P3516" s="19"/>
      <c r="Q3516" s="19"/>
      <c r="R3516" s="19"/>
    </row>
    <row r="3517" spans="13:18">
      <c r="M3517" s="19"/>
      <c r="N3517" s="19"/>
      <c r="O3517" s="19"/>
      <c r="P3517" s="19"/>
      <c r="Q3517" s="19"/>
      <c r="R3517" s="19"/>
    </row>
    <row r="3518" spans="13:18">
      <c r="M3518" s="19"/>
      <c r="N3518" s="19"/>
      <c r="O3518" s="19"/>
      <c r="P3518" s="19"/>
      <c r="Q3518" s="19"/>
      <c r="R3518" s="19"/>
    </row>
    <row r="3519" spans="13:18">
      <c r="M3519" s="19"/>
      <c r="N3519" s="19"/>
      <c r="O3519" s="19"/>
      <c r="P3519" s="19"/>
      <c r="Q3519" s="19"/>
      <c r="R3519" s="19"/>
    </row>
    <row r="3520" spans="13:18">
      <c r="M3520" s="19"/>
      <c r="N3520" s="19"/>
      <c r="O3520" s="19"/>
      <c r="P3520" s="19"/>
      <c r="Q3520" s="19"/>
      <c r="R3520" s="19"/>
    </row>
    <row r="3521" spans="13:18">
      <c r="M3521" s="19"/>
      <c r="N3521" s="19"/>
      <c r="O3521" s="19"/>
      <c r="P3521" s="19"/>
      <c r="Q3521" s="19"/>
      <c r="R3521" s="19"/>
    </row>
    <row r="3522" spans="13:18">
      <c r="M3522" s="19"/>
      <c r="N3522" s="19"/>
      <c r="O3522" s="19"/>
      <c r="P3522" s="19"/>
      <c r="Q3522" s="19"/>
      <c r="R3522" s="19"/>
    </row>
    <row r="3523" spans="13:18">
      <c r="M3523" s="19"/>
      <c r="N3523" s="19"/>
      <c r="O3523" s="19"/>
      <c r="P3523" s="19"/>
      <c r="Q3523" s="19"/>
      <c r="R3523" s="19"/>
    </row>
    <row r="3524" spans="13:18">
      <c r="M3524" s="19"/>
      <c r="N3524" s="19"/>
      <c r="O3524" s="19"/>
      <c r="P3524" s="19"/>
      <c r="Q3524" s="19"/>
      <c r="R3524" s="19"/>
    </row>
    <row r="3525" spans="13:18">
      <c r="M3525" s="19"/>
      <c r="N3525" s="19"/>
      <c r="O3525" s="19"/>
      <c r="P3525" s="19"/>
      <c r="Q3525" s="19"/>
      <c r="R3525" s="19"/>
    </row>
    <row r="3526" spans="13:18">
      <c r="M3526" s="19"/>
      <c r="N3526" s="19"/>
      <c r="O3526" s="19"/>
      <c r="P3526" s="19"/>
      <c r="Q3526" s="19"/>
      <c r="R3526" s="19"/>
    </row>
    <row r="3527" spans="13:18">
      <c r="M3527" s="19"/>
      <c r="N3527" s="19"/>
      <c r="O3527" s="19"/>
      <c r="P3527" s="19"/>
      <c r="Q3527" s="19"/>
      <c r="R3527" s="19"/>
    </row>
    <row r="3528" spans="13:18">
      <c r="M3528" s="19"/>
      <c r="N3528" s="19"/>
      <c r="O3528" s="19"/>
      <c r="P3528" s="19"/>
      <c r="Q3528" s="19"/>
      <c r="R3528" s="19"/>
    </row>
    <row r="3529" spans="13:18">
      <c r="M3529" s="19"/>
      <c r="N3529" s="19"/>
      <c r="O3529" s="19"/>
      <c r="P3529" s="19"/>
      <c r="Q3529" s="19"/>
      <c r="R3529" s="19"/>
    </row>
    <row r="3530" spans="13:18">
      <c r="M3530" s="19"/>
      <c r="N3530" s="19"/>
      <c r="O3530" s="19"/>
      <c r="P3530" s="19"/>
      <c r="Q3530" s="19"/>
      <c r="R3530" s="19"/>
    </row>
    <row r="3531" spans="13:18">
      <c r="M3531" s="19"/>
      <c r="N3531" s="19"/>
      <c r="O3531" s="19"/>
      <c r="P3531" s="19"/>
      <c r="Q3531" s="19"/>
      <c r="R3531" s="19"/>
    </row>
    <row r="3532" spans="13:18">
      <c r="M3532" s="19"/>
      <c r="N3532" s="19"/>
      <c r="O3532" s="19"/>
      <c r="P3532" s="19"/>
      <c r="Q3532" s="19"/>
      <c r="R3532" s="19"/>
    </row>
    <row r="3533" spans="13:18">
      <c r="M3533" s="19"/>
      <c r="N3533" s="19"/>
      <c r="O3533" s="19"/>
      <c r="P3533" s="19"/>
      <c r="Q3533" s="19"/>
      <c r="R3533" s="19"/>
    </row>
    <row r="3534" spans="13:18">
      <c r="M3534" s="19"/>
      <c r="N3534" s="19"/>
      <c r="O3534" s="19"/>
      <c r="P3534" s="19"/>
      <c r="Q3534" s="19"/>
      <c r="R3534" s="19"/>
    </row>
    <row r="3535" spans="13:18">
      <c r="M3535" s="19"/>
      <c r="N3535" s="19"/>
      <c r="O3535" s="19"/>
      <c r="P3535" s="19"/>
      <c r="Q3535" s="19"/>
      <c r="R3535" s="19"/>
    </row>
    <row r="3536" spans="13:18">
      <c r="M3536" s="19"/>
      <c r="N3536" s="19"/>
      <c r="O3536" s="19"/>
      <c r="P3536" s="19"/>
      <c r="Q3536" s="19"/>
      <c r="R3536" s="19"/>
    </row>
    <row r="3537" spans="13:18">
      <c r="M3537" s="19"/>
      <c r="N3537" s="19"/>
      <c r="O3537" s="19"/>
      <c r="P3537" s="19"/>
      <c r="Q3537" s="19"/>
      <c r="R3537" s="19"/>
    </row>
    <row r="3538" spans="13:18">
      <c r="M3538" s="19"/>
      <c r="N3538" s="19"/>
      <c r="O3538" s="19"/>
      <c r="P3538" s="19"/>
      <c r="Q3538" s="19"/>
      <c r="R3538" s="19"/>
    </row>
    <row r="3539" spans="13:18">
      <c r="M3539" s="19"/>
      <c r="N3539" s="19"/>
      <c r="O3539" s="19"/>
      <c r="P3539" s="19"/>
      <c r="Q3539" s="19"/>
      <c r="R3539" s="19"/>
    </row>
    <row r="3540" spans="13:18">
      <c r="M3540" s="19"/>
      <c r="N3540" s="19"/>
      <c r="O3540" s="19"/>
      <c r="P3540" s="19"/>
      <c r="Q3540" s="19"/>
      <c r="R3540" s="19"/>
    </row>
    <row r="3541" spans="13:18">
      <c r="M3541" s="19"/>
      <c r="N3541" s="19"/>
      <c r="O3541" s="19"/>
      <c r="P3541" s="19"/>
      <c r="Q3541" s="19"/>
      <c r="R3541" s="19"/>
    </row>
    <row r="3542" spans="13:18">
      <c r="M3542" s="19"/>
      <c r="N3542" s="19"/>
      <c r="O3542" s="19"/>
      <c r="P3542" s="19"/>
      <c r="Q3542" s="19"/>
      <c r="R3542" s="19"/>
    </row>
    <row r="3543" spans="13:18">
      <c r="M3543" s="19"/>
      <c r="N3543" s="19"/>
      <c r="O3543" s="19"/>
      <c r="P3543" s="19"/>
      <c r="Q3543" s="19"/>
      <c r="R3543" s="19"/>
    </row>
    <row r="3544" spans="13:18">
      <c r="M3544" s="19"/>
      <c r="N3544" s="19"/>
      <c r="O3544" s="19"/>
      <c r="P3544" s="19"/>
      <c r="Q3544" s="19"/>
      <c r="R3544" s="19"/>
    </row>
    <row r="3545" spans="13:18">
      <c r="M3545" s="19"/>
      <c r="N3545" s="19"/>
      <c r="O3545" s="19"/>
      <c r="P3545" s="19"/>
      <c r="Q3545" s="19"/>
      <c r="R3545" s="19"/>
    </row>
    <row r="3546" spans="13:18">
      <c r="M3546" s="19"/>
      <c r="N3546" s="19"/>
      <c r="O3546" s="19"/>
      <c r="P3546" s="19"/>
      <c r="Q3546" s="19"/>
      <c r="R3546" s="19"/>
    </row>
    <row r="3547" spans="13:18">
      <c r="M3547" s="19"/>
      <c r="N3547" s="19"/>
      <c r="O3547" s="19"/>
      <c r="P3547" s="19"/>
      <c r="Q3547" s="19"/>
      <c r="R3547" s="19"/>
    </row>
    <row r="3548" spans="13:18">
      <c r="M3548" s="19"/>
      <c r="N3548" s="19"/>
      <c r="O3548" s="19"/>
      <c r="P3548" s="19"/>
      <c r="Q3548" s="19"/>
      <c r="R3548" s="19"/>
    </row>
    <row r="3549" spans="13:18">
      <c r="M3549" s="19"/>
      <c r="N3549" s="19"/>
      <c r="O3549" s="19"/>
      <c r="P3549" s="19"/>
      <c r="Q3549" s="19"/>
      <c r="R3549" s="19"/>
    </row>
    <row r="3550" spans="13:18">
      <c r="M3550" s="19"/>
      <c r="N3550" s="19"/>
      <c r="O3550" s="19"/>
      <c r="P3550" s="19"/>
      <c r="Q3550" s="19"/>
      <c r="R3550" s="19"/>
    </row>
    <row r="3551" spans="13:18">
      <c r="M3551" s="19"/>
      <c r="N3551" s="19"/>
      <c r="O3551" s="19"/>
      <c r="P3551" s="19"/>
      <c r="Q3551" s="19"/>
      <c r="R3551" s="19"/>
    </row>
    <row r="3552" spans="13:18">
      <c r="M3552" s="19"/>
      <c r="N3552" s="19"/>
      <c r="O3552" s="19"/>
      <c r="P3552" s="19"/>
      <c r="Q3552" s="19"/>
      <c r="R3552" s="19"/>
    </row>
    <row r="3553" spans="13:18">
      <c r="M3553" s="19"/>
      <c r="N3553" s="19"/>
      <c r="O3553" s="19"/>
      <c r="P3553" s="19"/>
      <c r="Q3553" s="19"/>
      <c r="R3553" s="19"/>
    </row>
    <row r="3554" spans="13:18">
      <c r="M3554" s="19"/>
      <c r="N3554" s="19"/>
      <c r="O3554" s="19"/>
      <c r="P3554" s="19"/>
      <c r="Q3554" s="19"/>
      <c r="R3554" s="19"/>
    </row>
    <row r="3555" spans="13:18">
      <c r="M3555" s="19"/>
      <c r="N3555" s="19"/>
      <c r="O3555" s="19"/>
      <c r="P3555" s="19"/>
      <c r="Q3555" s="19"/>
      <c r="R3555" s="19"/>
    </row>
    <row r="3556" spans="13:18">
      <c r="M3556" s="19"/>
      <c r="N3556" s="19"/>
      <c r="O3556" s="19"/>
      <c r="P3556" s="19"/>
      <c r="Q3556" s="19"/>
      <c r="R3556" s="19"/>
    </row>
    <row r="3557" spans="13:18">
      <c r="M3557" s="19"/>
      <c r="N3557" s="19"/>
      <c r="O3557" s="19"/>
      <c r="P3557" s="19"/>
      <c r="Q3557" s="19"/>
      <c r="R3557" s="19"/>
    </row>
    <row r="3558" spans="13:18">
      <c r="M3558" s="19"/>
      <c r="N3558" s="19"/>
      <c r="O3558" s="19"/>
      <c r="P3558" s="19"/>
      <c r="Q3558" s="19"/>
      <c r="R3558" s="19"/>
    </row>
    <row r="3559" spans="13:18">
      <c r="M3559" s="19"/>
      <c r="N3559" s="19"/>
      <c r="O3559" s="19"/>
      <c r="P3559" s="19"/>
      <c r="Q3559" s="19"/>
      <c r="R3559" s="19"/>
    </row>
    <row r="3560" spans="13:18">
      <c r="M3560" s="19"/>
      <c r="N3560" s="19"/>
      <c r="O3560" s="19"/>
      <c r="P3560" s="19"/>
      <c r="Q3560" s="19"/>
      <c r="R3560" s="19"/>
    </row>
    <row r="3561" spans="13:18">
      <c r="M3561" s="19"/>
      <c r="N3561" s="19"/>
      <c r="O3561" s="19"/>
      <c r="P3561" s="19"/>
      <c r="Q3561" s="19"/>
      <c r="R3561" s="19"/>
    </row>
    <row r="3562" spans="13:18">
      <c r="M3562" s="19"/>
      <c r="N3562" s="19"/>
      <c r="O3562" s="19"/>
      <c r="P3562" s="19"/>
      <c r="Q3562" s="19"/>
      <c r="R3562" s="19"/>
    </row>
    <row r="3563" spans="13:18">
      <c r="M3563" s="19"/>
      <c r="N3563" s="19"/>
      <c r="O3563" s="19"/>
      <c r="P3563" s="19"/>
      <c r="Q3563" s="19"/>
      <c r="R3563" s="19"/>
    </row>
    <row r="3564" spans="13:18">
      <c r="M3564" s="19"/>
      <c r="N3564" s="19"/>
      <c r="O3564" s="19"/>
      <c r="P3564" s="19"/>
      <c r="Q3564" s="19"/>
      <c r="R3564" s="19"/>
    </row>
    <row r="3565" spans="13:18">
      <c r="M3565" s="19"/>
      <c r="N3565" s="19"/>
      <c r="O3565" s="19"/>
      <c r="P3565" s="19"/>
      <c r="Q3565" s="19"/>
      <c r="R3565" s="19"/>
    </row>
    <row r="3566" spans="13:18">
      <c r="M3566" s="19"/>
      <c r="N3566" s="19"/>
      <c r="O3566" s="19"/>
      <c r="P3566" s="19"/>
      <c r="Q3566" s="19"/>
      <c r="R3566" s="19"/>
    </row>
    <row r="3567" spans="13:18">
      <c r="M3567" s="19"/>
      <c r="N3567" s="19"/>
      <c r="O3567" s="19"/>
      <c r="P3567" s="19"/>
      <c r="Q3567" s="19"/>
      <c r="R3567" s="19"/>
    </row>
    <row r="3568" spans="13:18">
      <c r="M3568" s="19"/>
      <c r="N3568" s="19"/>
      <c r="O3568" s="19"/>
      <c r="P3568" s="19"/>
      <c r="Q3568" s="19"/>
      <c r="R3568" s="19"/>
    </row>
    <row r="3569" spans="13:18">
      <c r="M3569" s="19"/>
      <c r="N3569" s="19"/>
      <c r="O3569" s="19"/>
      <c r="P3569" s="19"/>
      <c r="Q3569" s="19"/>
      <c r="R3569" s="19"/>
    </row>
    <row r="3570" spans="13:18">
      <c r="M3570" s="19"/>
      <c r="N3570" s="19"/>
      <c r="O3570" s="19"/>
      <c r="P3570" s="19"/>
      <c r="Q3570" s="19"/>
      <c r="R3570" s="19"/>
    </row>
    <row r="3571" spans="13:18">
      <c r="M3571" s="19"/>
      <c r="N3571" s="19"/>
      <c r="O3571" s="19"/>
      <c r="P3571" s="19"/>
      <c r="Q3571" s="19"/>
      <c r="R3571" s="19"/>
    </row>
    <row r="3572" spans="13:18">
      <c r="M3572" s="19"/>
      <c r="N3572" s="19"/>
      <c r="O3572" s="19"/>
      <c r="P3572" s="19"/>
      <c r="Q3572" s="19"/>
      <c r="R3572" s="19"/>
    </row>
    <row r="3573" spans="13:18">
      <c r="M3573" s="19"/>
      <c r="N3573" s="19"/>
      <c r="O3573" s="19"/>
      <c r="P3573" s="19"/>
      <c r="Q3573" s="19"/>
      <c r="R3573" s="19"/>
    </row>
    <row r="3574" spans="13:18">
      <c r="M3574" s="19"/>
      <c r="N3574" s="19"/>
      <c r="O3574" s="19"/>
      <c r="P3574" s="19"/>
      <c r="Q3574" s="19"/>
      <c r="R3574" s="19"/>
    </row>
    <row r="3575" spans="13:18">
      <c r="M3575" s="19"/>
      <c r="N3575" s="19"/>
      <c r="O3575" s="19"/>
      <c r="P3575" s="19"/>
      <c r="Q3575" s="19"/>
      <c r="R3575" s="19"/>
    </row>
    <row r="3576" spans="13:18">
      <c r="M3576" s="19"/>
      <c r="N3576" s="19"/>
      <c r="O3576" s="19"/>
      <c r="P3576" s="19"/>
      <c r="Q3576" s="19"/>
      <c r="R3576" s="19"/>
    </row>
    <row r="3577" spans="13:18">
      <c r="M3577" s="19"/>
      <c r="N3577" s="19"/>
      <c r="O3577" s="19"/>
      <c r="P3577" s="19"/>
      <c r="Q3577" s="19"/>
      <c r="R3577" s="19"/>
    </row>
    <row r="3578" spans="13:18">
      <c r="M3578" s="19"/>
      <c r="N3578" s="19"/>
      <c r="O3578" s="19"/>
      <c r="P3578" s="19"/>
      <c r="Q3578" s="19"/>
      <c r="R3578" s="19"/>
    </row>
    <row r="3579" spans="13:18">
      <c r="M3579" s="19"/>
      <c r="N3579" s="19"/>
      <c r="O3579" s="19"/>
      <c r="P3579" s="19"/>
      <c r="Q3579" s="19"/>
      <c r="R3579" s="19"/>
    </row>
    <row r="3580" spans="13:18">
      <c r="M3580" s="19"/>
      <c r="N3580" s="19"/>
      <c r="O3580" s="19"/>
      <c r="P3580" s="19"/>
      <c r="Q3580" s="19"/>
      <c r="R3580" s="19"/>
    </row>
    <row r="3581" spans="13:18">
      <c r="M3581" s="19"/>
      <c r="N3581" s="19"/>
      <c r="O3581" s="19"/>
      <c r="P3581" s="19"/>
      <c r="Q3581" s="19"/>
      <c r="R3581" s="19"/>
    </row>
    <row r="3582" spans="13:18">
      <c r="M3582" s="19"/>
      <c r="N3582" s="19"/>
      <c r="O3582" s="19"/>
      <c r="P3582" s="19"/>
      <c r="Q3582" s="19"/>
      <c r="R3582" s="19"/>
    </row>
    <row r="3583" spans="13:18">
      <c r="M3583" s="19"/>
      <c r="N3583" s="19"/>
      <c r="O3583" s="19"/>
      <c r="P3583" s="19"/>
      <c r="Q3583" s="19"/>
      <c r="R3583" s="19"/>
    </row>
    <row r="3584" spans="13:18">
      <c r="M3584" s="19"/>
      <c r="N3584" s="19"/>
      <c r="O3584" s="19"/>
      <c r="P3584" s="19"/>
      <c r="Q3584" s="19"/>
      <c r="R3584" s="19"/>
    </row>
    <row r="3585" spans="13:18">
      <c r="M3585" s="19"/>
      <c r="N3585" s="19"/>
      <c r="O3585" s="19"/>
      <c r="P3585" s="19"/>
      <c r="Q3585" s="19"/>
      <c r="R3585" s="19"/>
    </row>
    <row r="3586" spans="13:18">
      <c r="M3586" s="19"/>
      <c r="N3586" s="19"/>
      <c r="O3586" s="19"/>
      <c r="P3586" s="19"/>
      <c r="Q3586" s="19"/>
      <c r="R3586" s="19"/>
    </row>
    <row r="3587" spans="13:18">
      <c r="M3587" s="19"/>
      <c r="N3587" s="19"/>
      <c r="O3587" s="19"/>
      <c r="P3587" s="19"/>
      <c r="Q3587" s="19"/>
      <c r="R3587" s="19"/>
    </row>
    <row r="3588" spans="13:18">
      <c r="M3588" s="19"/>
      <c r="N3588" s="19"/>
      <c r="O3588" s="19"/>
      <c r="P3588" s="19"/>
      <c r="Q3588" s="19"/>
      <c r="R3588" s="19"/>
    </row>
    <row r="3589" spans="13:18">
      <c r="M3589" s="19"/>
      <c r="N3589" s="19"/>
      <c r="O3589" s="19"/>
      <c r="P3589" s="19"/>
      <c r="Q3589" s="19"/>
      <c r="R3589" s="19"/>
    </row>
    <row r="3590" spans="13:18">
      <c r="M3590" s="19"/>
      <c r="N3590" s="19"/>
      <c r="O3590" s="19"/>
      <c r="P3590" s="19"/>
      <c r="Q3590" s="19"/>
      <c r="R3590" s="19"/>
    </row>
    <row r="3591" spans="13:18">
      <c r="M3591" s="19"/>
      <c r="N3591" s="19"/>
      <c r="O3591" s="19"/>
      <c r="P3591" s="19"/>
      <c r="Q3591" s="19"/>
      <c r="R3591" s="19"/>
    </row>
    <row r="3592" spans="13:18">
      <c r="M3592" s="19"/>
      <c r="N3592" s="19"/>
      <c r="O3592" s="19"/>
      <c r="P3592" s="19"/>
      <c r="Q3592" s="19"/>
      <c r="R3592" s="19"/>
    </row>
    <row r="3593" spans="13:18">
      <c r="M3593" s="19"/>
      <c r="N3593" s="19"/>
      <c r="O3593" s="19"/>
      <c r="P3593" s="19"/>
      <c r="Q3593" s="19"/>
      <c r="R3593" s="19"/>
    </row>
    <row r="3594" spans="13:18">
      <c r="M3594" s="19"/>
      <c r="N3594" s="19"/>
      <c r="O3594" s="19"/>
      <c r="P3594" s="19"/>
      <c r="Q3594" s="19"/>
      <c r="R3594" s="19"/>
    </row>
    <row r="3595" spans="13:18">
      <c r="M3595" s="19"/>
      <c r="N3595" s="19"/>
      <c r="O3595" s="19"/>
      <c r="P3595" s="19"/>
      <c r="Q3595" s="19"/>
      <c r="R3595" s="19"/>
    </row>
    <row r="3596" spans="13:18">
      <c r="M3596" s="19"/>
      <c r="N3596" s="19"/>
      <c r="O3596" s="19"/>
      <c r="P3596" s="19"/>
      <c r="Q3596" s="19"/>
      <c r="R3596" s="19"/>
    </row>
    <row r="3597" spans="13:18">
      <c r="M3597" s="19"/>
      <c r="N3597" s="19"/>
      <c r="O3597" s="19"/>
      <c r="P3597" s="19"/>
      <c r="Q3597" s="19"/>
      <c r="R3597" s="19"/>
    </row>
    <row r="3598" spans="13:18">
      <c r="M3598" s="19"/>
      <c r="N3598" s="19"/>
      <c r="O3598" s="19"/>
      <c r="P3598" s="19"/>
      <c r="Q3598" s="19"/>
      <c r="R3598" s="19"/>
    </row>
    <row r="3599" spans="13:18">
      <c r="M3599" s="19"/>
      <c r="N3599" s="19"/>
      <c r="O3599" s="19"/>
      <c r="P3599" s="19"/>
      <c r="Q3599" s="19"/>
      <c r="R3599" s="19"/>
    </row>
    <row r="3600" spans="13:18">
      <c r="M3600" s="19"/>
      <c r="N3600" s="19"/>
      <c r="O3600" s="19"/>
      <c r="P3600" s="19"/>
      <c r="Q3600" s="19"/>
      <c r="R3600" s="19"/>
    </row>
    <row r="3601" spans="13:18">
      <c r="M3601" s="19"/>
      <c r="N3601" s="19"/>
      <c r="O3601" s="19"/>
      <c r="P3601" s="19"/>
      <c r="Q3601" s="19"/>
      <c r="R3601" s="19"/>
    </row>
    <row r="3602" spans="13:18">
      <c r="M3602" s="19"/>
      <c r="N3602" s="19"/>
      <c r="O3602" s="19"/>
      <c r="P3602" s="19"/>
      <c r="Q3602" s="19"/>
      <c r="R3602" s="19"/>
    </row>
    <row r="3603" spans="13:18">
      <c r="M3603" s="19"/>
      <c r="N3603" s="19"/>
      <c r="O3603" s="19"/>
      <c r="P3603" s="19"/>
      <c r="Q3603" s="19"/>
      <c r="R3603" s="19"/>
    </row>
    <row r="3604" spans="13:18">
      <c r="M3604" s="19"/>
      <c r="N3604" s="19"/>
      <c r="O3604" s="19"/>
      <c r="P3604" s="19"/>
      <c r="Q3604" s="19"/>
      <c r="R3604" s="19"/>
    </row>
    <row r="3605" spans="13:18">
      <c r="M3605" s="19"/>
      <c r="N3605" s="19"/>
      <c r="O3605" s="19"/>
      <c r="P3605" s="19"/>
      <c r="Q3605" s="19"/>
      <c r="R3605" s="19"/>
    </row>
    <row r="3606" spans="13:18">
      <c r="M3606" s="19"/>
      <c r="N3606" s="19"/>
      <c r="O3606" s="19"/>
      <c r="P3606" s="19"/>
      <c r="Q3606" s="19"/>
      <c r="R3606" s="19"/>
    </row>
    <row r="3607" spans="13:18">
      <c r="M3607" s="19"/>
      <c r="N3607" s="19"/>
      <c r="O3607" s="19"/>
      <c r="P3607" s="19"/>
      <c r="Q3607" s="19"/>
      <c r="R3607" s="19"/>
    </row>
    <row r="3608" spans="13:18">
      <c r="M3608" s="19"/>
      <c r="N3608" s="19"/>
      <c r="O3608" s="19"/>
      <c r="P3608" s="19"/>
      <c r="Q3608" s="19"/>
      <c r="R3608" s="19"/>
    </row>
    <row r="3609" spans="13:18">
      <c r="M3609" s="19"/>
      <c r="N3609" s="19"/>
      <c r="O3609" s="19"/>
      <c r="P3609" s="19"/>
      <c r="Q3609" s="19"/>
      <c r="R3609" s="19"/>
    </row>
    <row r="3610" spans="13:18">
      <c r="M3610" s="19"/>
      <c r="N3610" s="19"/>
      <c r="O3610" s="19"/>
      <c r="P3610" s="19"/>
      <c r="Q3610" s="19"/>
      <c r="R3610" s="19"/>
    </row>
    <row r="3611" spans="13:18">
      <c r="M3611" s="19"/>
      <c r="N3611" s="19"/>
      <c r="O3611" s="19"/>
      <c r="P3611" s="19"/>
      <c r="Q3611" s="19"/>
      <c r="R3611" s="19"/>
    </row>
    <row r="3612" spans="13:18">
      <c r="M3612" s="19"/>
      <c r="N3612" s="19"/>
      <c r="O3612" s="19"/>
      <c r="P3612" s="19"/>
      <c r="Q3612" s="19"/>
      <c r="R3612" s="19"/>
    </row>
    <row r="3613" spans="13:18">
      <c r="M3613" s="19"/>
      <c r="N3613" s="19"/>
      <c r="O3613" s="19"/>
      <c r="P3613" s="19"/>
      <c r="Q3613" s="19"/>
      <c r="R3613" s="19"/>
    </row>
    <row r="3614" spans="13:18">
      <c r="M3614" s="19"/>
      <c r="N3614" s="19"/>
      <c r="O3614" s="19"/>
      <c r="P3614" s="19"/>
      <c r="Q3614" s="19"/>
      <c r="R3614" s="19"/>
    </row>
    <row r="3615" spans="13:18">
      <c r="M3615" s="19"/>
      <c r="N3615" s="19"/>
      <c r="O3615" s="19"/>
      <c r="P3615" s="19"/>
      <c r="Q3615" s="19"/>
      <c r="R3615" s="19"/>
    </row>
    <row r="3616" spans="13:18">
      <c r="M3616" s="19"/>
      <c r="N3616" s="19"/>
      <c r="O3616" s="19"/>
      <c r="P3616" s="19"/>
      <c r="Q3616" s="19"/>
      <c r="R3616" s="19"/>
    </row>
    <row r="3617" spans="13:18">
      <c r="M3617" s="19"/>
      <c r="N3617" s="19"/>
      <c r="O3617" s="19"/>
      <c r="P3617" s="19"/>
      <c r="Q3617" s="19"/>
      <c r="R3617" s="19"/>
    </row>
    <row r="3618" spans="13:18">
      <c r="M3618" s="19"/>
      <c r="N3618" s="19"/>
      <c r="O3618" s="19"/>
      <c r="P3618" s="19"/>
      <c r="Q3618" s="19"/>
      <c r="R3618" s="19"/>
    </row>
    <row r="3619" spans="13:18">
      <c r="M3619" s="19"/>
      <c r="N3619" s="19"/>
      <c r="O3619" s="19"/>
      <c r="P3619" s="19"/>
      <c r="Q3619" s="19"/>
      <c r="R3619" s="19"/>
    </row>
    <row r="3620" spans="13:18">
      <c r="M3620" s="19"/>
      <c r="N3620" s="19"/>
      <c r="O3620" s="19"/>
      <c r="P3620" s="19"/>
      <c r="Q3620" s="19"/>
      <c r="R3620" s="19"/>
    </row>
    <row r="3621" spans="13:18">
      <c r="M3621" s="19"/>
      <c r="N3621" s="19"/>
      <c r="O3621" s="19"/>
      <c r="P3621" s="19"/>
      <c r="Q3621" s="19"/>
      <c r="R3621" s="19"/>
    </row>
    <row r="3622" spans="13:18">
      <c r="M3622" s="19"/>
      <c r="N3622" s="19"/>
      <c r="O3622" s="19"/>
      <c r="P3622" s="19"/>
      <c r="Q3622" s="19"/>
      <c r="R3622" s="19"/>
    </row>
    <row r="3623" spans="13:18">
      <c r="M3623" s="19"/>
      <c r="N3623" s="19"/>
      <c r="O3623" s="19"/>
      <c r="P3623" s="19"/>
      <c r="Q3623" s="19"/>
      <c r="R3623" s="19"/>
    </row>
    <row r="3624" spans="13:18">
      <c r="M3624" s="19"/>
      <c r="N3624" s="19"/>
      <c r="O3624" s="19"/>
      <c r="P3624" s="19"/>
      <c r="Q3624" s="19"/>
      <c r="R3624" s="19"/>
    </row>
    <row r="3625" spans="13:18">
      <c r="M3625" s="19"/>
      <c r="N3625" s="19"/>
      <c r="O3625" s="19"/>
      <c r="P3625" s="19"/>
      <c r="Q3625" s="19"/>
      <c r="R3625" s="19"/>
    </row>
    <row r="3626" spans="13:18">
      <c r="M3626" s="19"/>
      <c r="N3626" s="19"/>
      <c r="O3626" s="19"/>
      <c r="P3626" s="19"/>
      <c r="Q3626" s="19"/>
      <c r="R3626" s="19"/>
    </row>
    <row r="3627" spans="13:18">
      <c r="M3627" s="19"/>
      <c r="N3627" s="19"/>
      <c r="O3627" s="19"/>
      <c r="P3627" s="19"/>
      <c r="Q3627" s="19"/>
      <c r="R3627" s="19"/>
    </row>
    <row r="3628" spans="13:18">
      <c r="M3628" s="19"/>
      <c r="N3628" s="19"/>
      <c r="O3628" s="19"/>
      <c r="P3628" s="19"/>
      <c r="Q3628" s="19"/>
      <c r="R3628" s="19"/>
    </row>
    <row r="3629" spans="13:18">
      <c r="M3629" s="19"/>
      <c r="N3629" s="19"/>
      <c r="O3629" s="19"/>
      <c r="P3629" s="19"/>
      <c r="Q3629" s="19"/>
      <c r="R3629" s="19"/>
    </row>
    <row r="3630" spans="13:18">
      <c r="M3630" s="19"/>
      <c r="N3630" s="19"/>
      <c r="O3630" s="19"/>
      <c r="P3630" s="19"/>
      <c r="Q3630" s="19"/>
      <c r="R3630" s="19"/>
    </row>
    <row r="3631" spans="13:18">
      <c r="M3631" s="19"/>
      <c r="N3631" s="19"/>
      <c r="O3631" s="19"/>
      <c r="P3631" s="19"/>
      <c r="Q3631" s="19"/>
      <c r="R3631" s="19"/>
    </row>
    <row r="3632" spans="13:18">
      <c r="M3632" s="19"/>
      <c r="N3632" s="19"/>
      <c r="O3632" s="19"/>
      <c r="P3632" s="19"/>
      <c r="Q3632" s="19"/>
      <c r="R3632" s="19"/>
    </row>
    <row r="3633" spans="13:18">
      <c r="M3633" s="19"/>
      <c r="N3633" s="19"/>
      <c r="O3633" s="19"/>
      <c r="P3633" s="19"/>
      <c r="Q3633" s="19"/>
      <c r="R3633" s="19"/>
    </row>
    <row r="3634" spans="13:18">
      <c r="M3634" s="19"/>
      <c r="N3634" s="19"/>
      <c r="O3634" s="19"/>
      <c r="P3634" s="19"/>
      <c r="Q3634" s="19"/>
      <c r="R3634" s="19"/>
    </row>
    <row r="3635" spans="13:18">
      <c r="M3635" s="19"/>
      <c r="N3635" s="19"/>
      <c r="O3635" s="19"/>
      <c r="P3635" s="19"/>
      <c r="Q3635" s="19"/>
      <c r="R3635" s="19"/>
    </row>
    <row r="3636" spans="13:18">
      <c r="M3636" s="19"/>
      <c r="N3636" s="19"/>
      <c r="O3636" s="19"/>
      <c r="P3636" s="19"/>
      <c r="Q3636" s="19"/>
      <c r="R3636" s="19"/>
    </row>
    <row r="3637" spans="13:18">
      <c r="M3637" s="19"/>
      <c r="N3637" s="19"/>
      <c r="O3637" s="19"/>
      <c r="P3637" s="19"/>
      <c r="Q3637" s="19"/>
      <c r="R3637" s="19"/>
    </row>
    <row r="3638" spans="13:18">
      <c r="M3638" s="19"/>
      <c r="N3638" s="19"/>
      <c r="O3638" s="19"/>
      <c r="P3638" s="19"/>
      <c r="Q3638" s="19"/>
      <c r="R3638" s="19"/>
    </row>
    <row r="3639" spans="13:18">
      <c r="M3639" s="19"/>
      <c r="N3639" s="19"/>
      <c r="O3639" s="19"/>
      <c r="P3639" s="19"/>
      <c r="Q3639" s="19"/>
      <c r="R3639" s="19"/>
    </row>
    <row r="3640" spans="13:18">
      <c r="M3640" s="19"/>
      <c r="N3640" s="19"/>
      <c r="O3640" s="19"/>
      <c r="P3640" s="19"/>
      <c r="Q3640" s="19"/>
      <c r="R3640" s="19"/>
    </row>
    <row r="3641" spans="13:18">
      <c r="M3641" s="19"/>
      <c r="N3641" s="19"/>
      <c r="O3641" s="19"/>
      <c r="P3641" s="19"/>
      <c r="Q3641" s="19"/>
      <c r="R3641" s="19"/>
    </row>
    <row r="3642" spans="13:18">
      <c r="M3642" s="19"/>
      <c r="N3642" s="19"/>
      <c r="O3642" s="19"/>
      <c r="P3642" s="19"/>
      <c r="Q3642" s="19"/>
      <c r="R3642" s="19"/>
    </row>
    <row r="3643" spans="13:18">
      <c r="M3643" s="19"/>
      <c r="N3643" s="19"/>
      <c r="O3643" s="19"/>
      <c r="P3643" s="19"/>
      <c r="Q3643" s="19"/>
      <c r="R3643" s="19"/>
    </row>
    <row r="3644" spans="13:18">
      <c r="M3644" s="19"/>
      <c r="N3644" s="19"/>
      <c r="O3644" s="19"/>
      <c r="P3644" s="19"/>
      <c r="Q3644" s="19"/>
      <c r="R3644" s="19"/>
    </row>
    <row r="3645" spans="13:18">
      <c r="M3645" s="19"/>
      <c r="N3645" s="19"/>
      <c r="O3645" s="19"/>
      <c r="P3645" s="19"/>
      <c r="Q3645" s="19"/>
      <c r="R3645" s="19"/>
    </row>
    <row r="3646" spans="13:18">
      <c r="M3646" s="19"/>
      <c r="N3646" s="19"/>
      <c r="O3646" s="19"/>
      <c r="P3646" s="19"/>
      <c r="Q3646" s="19"/>
      <c r="R3646" s="19"/>
    </row>
    <row r="3647" spans="13:18">
      <c r="M3647" s="19"/>
      <c r="N3647" s="19"/>
      <c r="O3647" s="19"/>
      <c r="P3647" s="19"/>
      <c r="Q3647" s="19"/>
      <c r="R3647" s="19"/>
    </row>
    <row r="3648" spans="13:18">
      <c r="M3648" s="19"/>
      <c r="N3648" s="19"/>
      <c r="O3648" s="19"/>
      <c r="P3648" s="19"/>
      <c r="Q3648" s="19"/>
      <c r="R3648" s="19"/>
    </row>
    <row r="3649" spans="13:18">
      <c r="M3649" s="19"/>
      <c r="N3649" s="19"/>
      <c r="O3649" s="19"/>
      <c r="P3649" s="19"/>
      <c r="Q3649" s="19"/>
      <c r="R3649" s="19"/>
    </row>
    <row r="3650" spans="13:18">
      <c r="M3650" s="19"/>
      <c r="N3650" s="19"/>
      <c r="O3650" s="19"/>
      <c r="P3650" s="19"/>
      <c r="Q3650" s="19"/>
      <c r="R3650" s="19"/>
    </row>
    <row r="3651" spans="13:18">
      <c r="M3651" s="19"/>
      <c r="N3651" s="19"/>
      <c r="O3651" s="19"/>
      <c r="P3651" s="19"/>
      <c r="Q3651" s="19"/>
      <c r="R3651" s="19"/>
    </row>
    <row r="3652" spans="13:18">
      <c r="M3652" s="19"/>
      <c r="N3652" s="19"/>
      <c r="O3652" s="19"/>
      <c r="P3652" s="19"/>
      <c r="Q3652" s="19"/>
      <c r="R3652" s="19"/>
    </row>
    <row r="3653" spans="13:18">
      <c r="M3653" s="19"/>
      <c r="N3653" s="19"/>
      <c r="O3653" s="19"/>
      <c r="P3653" s="19"/>
      <c r="Q3653" s="19"/>
      <c r="R3653" s="19"/>
    </row>
    <row r="3654" spans="13:18">
      <c r="M3654" s="19"/>
      <c r="N3654" s="19"/>
      <c r="O3654" s="19"/>
      <c r="P3654" s="19"/>
      <c r="Q3654" s="19"/>
      <c r="R3654" s="19"/>
    </row>
    <row r="3655" spans="13:18">
      <c r="M3655" s="19"/>
      <c r="N3655" s="19"/>
      <c r="O3655" s="19"/>
      <c r="P3655" s="19"/>
      <c r="Q3655" s="19"/>
      <c r="R3655" s="19"/>
    </row>
    <row r="3656" spans="13:18">
      <c r="M3656" s="19"/>
      <c r="N3656" s="19"/>
      <c r="O3656" s="19"/>
      <c r="P3656" s="19"/>
      <c r="Q3656" s="19"/>
      <c r="R3656" s="19"/>
    </row>
    <row r="3657" spans="13:18">
      <c r="M3657" s="19"/>
      <c r="N3657" s="19"/>
      <c r="O3657" s="19"/>
      <c r="P3657" s="19"/>
      <c r="Q3657" s="19"/>
      <c r="R3657" s="19"/>
    </row>
    <row r="3658" spans="13:18">
      <c r="M3658" s="19"/>
      <c r="N3658" s="19"/>
      <c r="O3658" s="19"/>
      <c r="P3658" s="19"/>
      <c r="Q3658" s="19"/>
      <c r="R3658" s="19"/>
    </row>
    <row r="3659" spans="13:18">
      <c r="M3659" s="19"/>
      <c r="N3659" s="19"/>
      <c r="O3659" s="19"/>
      <c r="P3659" s="19"/>
      <c r="Q3659" s="19"/>
      <c r="R3659" s="19"/>
    </row>
    <row r="3660" spans="13:18">
      <c r="M3660" s="19"/>
      <c r="N3660" s="19"/>
      <c r="O3660" s="19"/>
      <c r="P3660" s="19"/>
      <c r="Q3660" s="19"/>
      <c r="R3660" s="19"/>
    </row>
    <row r="3661" spans="13:18">
      <c r="M3661" s="19"/>
      <c r="N3661" s="19"/>
      <c r="O3661" s="19"/>
      <c r="P3661" s="19"/>
      <c r="Q3661" s="19"/>
      <c r="R3661" s="19"/>
    </row>
    <row r="3662" spans="13:18">
      <c r="M3662" s="19"/>
      <c r="N3662" s="19"/>
      <c r="O3662" s="19"/>
      <c r="P3662" s="19"/>
      <c r="Q3662" s="19"/>
      <c r="R3662" s="19"/>
    </row>
    <row r="3663" spans="13:18">
      <c r="M3663" s="19"/>
      <c r="N3663" s="19"/>
      <c r="O3663" s="19"/>
      <c r="P3663" s="19"/>
      <c r="Q3663" s="19"/>
      <c r="R3663" s="19"/>
    </row>
    <row r="3664" spans="13:18">
      <c r="M3664" s="19"/>
      <c r="N3664" s="19"/>
      <c r="O3664" s="19"/>
      <c r="P3664" s="19"/>
      <c r="Q3664" s="19"/>
      <c r="R3664" s="19"/>
    </row>
    <row r="3665" spans="13:18">
      <c r="M3665" s="19"/>
      <c r="N3665" s="19"/>
      <c r="O3665" s="19"/>
      <c r="P3665" s="19"/>
      <c r="Q3665" s="19"/>
      <c r="R3665" s="19"/>
    </row>
    <row r="3666" spans="13:18">
      <c r="M3666" s="19"/>
      <c r="N3666" s="19"/>
      <c r="O3666" s="19"/>
      <c r="P3666" s="19"/>
      <c r="Q3666" s="19"/>
      <c r="R3666" s="19"/>
    </row>
    <row r="3667" spans="13:18">
      <c r="M3667" s="19"/>
      <c r="N3667" s="19"/>
      <c r="O3667" s="19"/>
      <c r="P3667" s="19"/>
      <c r="Q3667" s="19"/>
      <c r="R3667" s="19"/>
    </row>
    <row r="3668" spans="13:18">
      <c r="M3668" s="19"/>
      <c r="N3668" s="19"/>
      <c r="O3668" s="19"/>
      <c r="P3668" s="19"/>
      <c r="Q3668" s="19"/>
      <c r="R3668" s="19"/>
    </row>
    <row r="3669" spans="13:18">
      <c r="M3669" s="19"/>
      <c r="N3669" s="19"/>
      <c r="O3669" s="19"/>
      <c r="P3669" s="19"/>
      <c r="Q3669" s="19"/>
      <c r="R3669" s="19"/>
    </row>
    <row r="3670" spans="13:18">
      <c r="M3670" s="19"/>
      <c r="N3670" s="19"/>
      <c r="O3670" s="19"/>
      <c r="P3670" s="19"/>
      <c r="Q3670" s="19"/>
      <c r="R3670" s="19"/>
    </row>
    <row r="3671" spans="13:18">
      <c r="M3671" s="19"/>
      <c r="N3671" s="19"/>
      <c r="O3671" s="19"/>
      <c r="P3671" s="19"/>
      <c r="Q3671" s="19"/>
      <c r="R3671" s="19"/>
    </row>
    <row r="3672" spans="13:18">
      <c r="M3672" s="19"/>
      <c r="N3672" s="19"/>
      <c r="O3672" s="19"/>
      <c r="P3672" s="19"/>
      <c r="Q3672" s="19"/>
      <c r="R3672" s="19"/>
    </row>
    <row r="3673" spans="13:18">
      <c r="M3673" s="19"/>
      <c r="N3673" s="19"/>
      <c r="O3673" s="19"/>
      <c r="P3673" s="19"/>
      <c r="Q3673" s="19"/>
      <c r="R3673" s="19"/>
    </row>
    <row r="3674" spans="13:18">
      <c r="M3674" s="19"/>
      <c r="N3674" s="19"/>
      <c r="O3674" s="19"/>
      <c r="P3674" s="19"/>
      <c r="Q3674" s="19"/>
      <c r="R3674" s="19"/>
    </row>
    <row r="3675" spans="13:18">
      <c r="M3675" s="19"/>
      <c r="N3675" s="19"/>
      <c r="O3675" s="19"/>
      <c r="P3675" s="19"/>
      <c r="Q3675" s="19"/>
      <c r="R3675" s="19"/>
    </row>
    <row r="3676" spans="13:18">
      <c r="M3676" s="19"/>
      <c r="N3676" s="19"/>
      <c r="O3676" s="19"/>
      <c r="P3676" s="19"/>
      <c r="Q3676" s="19"/>
      <c r="R3676" s="19"/>
    </row>
    <row r="3677" spans="13:18">
      <c r="M3677" s="19"/>
      <c r="N3677" s="19"/>
      <c r="O3677" s="19"/>
      <c r="P3677" s="19"/>
      <c r="Q3677" s="19"/>
      <c r="R3677" s="19"/>
    </row>
    <row r="3678" spans="13:18">
      <c r="M3678" s="19"/>
      <c r="N3678" s="19"/>
      <c r="O3678" s="19"/>
      <c r="P3678" s="19"/>
      <c r="Q3678" s="19"/>
      <c r="R3678" s="19"/>
    </row>
    <row r="3679" spans="13:18">
      <c r="M3679" s="19"/>
      <c r="N3679" s="19"/>
      <c r="O3679" s="19"/>
      <c r="P3679" s="19"/>
      <c r="Q3679" s="19"/>
      <c r="R3679" s="19"/>
    </row>
    <row r="3680" spans="13:18">
      <c r="M3680" s="19"/>
      <c r="N3680" s="19"/>
      <c r="O3680" s="19"/>
      <c r="P3680" s="19"/>
      <c r="Q3680" s="19"/>
      <c r="R3680" s="19"/>
    </row>
    <row r="3681" spans="13:18">
      <c r="M3681" s="19"/>
      <c r="N3681" s="19"/>
      <c r="O3681" s="19"/>
      <c r="P3681" s="19"/>
      <c r="Q3681" s="19"/>
      <c r="R3681" s="19"/>
    </row>
    <row r="3682" spans="13:18">
      <c r="M3682" s="19"/>
      <c r="N3682" s="19"/>
      <c r="O3682" s="19"/>
      <c r="P3682" s="19"/>
      <c r="Q3682" s="19"/>
      <c r="R3682" s="19"/>
    </row>
    <row r="3683" spans="13:18">
      <c r="M3683" s="19"/>
      <c r="N3683" s="19"/>
      <c r="O3683" s="19"/>
      <c r="P3683" s="19"/>
      <c r="Q3683" s="19"/>
      <c r="R3683" s="19"/>
    </row>
    <row r="3684" spans="13:18">
      <c r="M3684" s="19"/>
      <c r="N3684" s="19"/>
      <c r="O3684" s="19"/>
      <c r="P3684" s="19"/>
      <c r="Q3684" s="19"/>
      <c r="R3684" s="19"/>
    </row>
    <row r="3685" spans="13:18">
      <c r="M3685" s="19"/>
      <c r="N3685" s="19"/>
      <c r="O3685" s="19"/>
      <c r="P3685" s="19"/>
      <c r="Q3685" s="19"/>
      <c r="R3685" s="19"/>
    </row>
    <row r="3686" spans="13:18">
      <c r="M3686" s="19"/>
      <c r="N3686" s="19"/>
      <c r="O3686" s="19"/>
      <c r="P3686" s="19"/>
      <c r="Q3686" s="19"/>
      <c r="R3686" s="19"/>
    </row>
    <row r="3687" spans="13:18">
      <c r="M3687" s="19"/>
      <c r="N3687" s="19"/>
      <c r="O3687" s="19"/>
      <c r="P3687" s="19"/>
      <c r="Q3687" s="19"/>
      <c r="R3687" s="19"/>
    </row>
    <row r="3688" spans="13:18">
      <c r="M3688" s="19"/>
      <c r="N3688" s="19"/>
      <c r="O3688" s="19"/>
      <c r="P3688" s="19"/>
      <c r="Q3688" s="19"/>
      <c r="R3688" s="19"/>
    </row>
    <row r="3689" spans="13:18">
      <c r="M3689" s="19"/>
      <c r="N3689" s="19"/>
      <c r="O3689" s="19"/>
      <c r="P3689" s="19"/>
      <c r="Q3689" s="19"/>
      <c r="R3689" s="19"/>
    </row>
    <row r="3690" spans="13:18">
      <c r="M3690" s="19"/>
      <c r="N3690" s="19"/>
      <c r="O3690" s="19"/>
      <c r="P3690" s="19"/>
      <c r="Q3690" s="19"/>
      <c r="R3690" s="19"/>
    </row>
    <row r="3691" spans="13:18">
      <c r="M3691" s="19"/>
      <c r="N3691" s="19"/>
      <c r="O3691" s="19"/>
      <c r="P3691" s="19"/>
      <c r="Q3691" s="19"/>
      <c r="R3691" s="19"/>
    </row>
    <row r="3692" spans="13:18">
      <c r="M3692" s="19"/>
      <c r="N3692" s="19"/>
      <c r="O3692" s="19"/>
      <c r="P3692" s="19"/>
      <c r="Q3692" s="19"/>
      <c r="R3692" s="19"/>
    </row>
    <row r="3693" spans="13:18">
      <c r="M3693" s="19"/>
      <c r="N3693" s="19"/>
      <c r="O3693" s="19"/>
      <c r="P3693" s="19"/>
      <c r="Q3693" s="19"/>
      <c r="R3693" s="19"/>
    </row>
    <row r="3694" spans="13:18">
      <c r="M3694" s="19"/>
      <c r="N3694" s="19"/>
      <c r="O3694" s="19"/>
      <c r="P3694" s="19"/>
      <c r="Q3694" s="19"/>
      <c r="R3694" s="19"/>
    </row>
    <row r="3695" spans="13:18">
      <c r="M3695" s="19"/>
      <c r="N3695" s="19"/>
      <c r="O3695" s="19"/>
      <c r="P3695" s="19"/>
      <c r="Q3695" s="19"/>
      <c r="R3695" s="19"/>
    </row>
    <row r="3696" spans="13:18">
      <c r="M3696" s="19"/>
      <c r="N3696" s="19"/>
      <c r="O3696" s="19"/>
      <c r="P3696" s="19"/>
      <c r="Q3696" s="19"/>
      <c r="R3696" s="19"/>
    </row>
    <row r="3697" spans="13:18">
      <c r="M3697" s="19"/>
      <c r="N3697" s="19"/>
      <c r="O3697" s="19"/>
      <c r="P3697" s="19"/>
      <c r="Q3697" s="19"/>
      <c r="R3697" s="19"/>
    </row>
    <row r="3698" spans="13:18">
      <c r="M3698" s="19"/>
      <c r="N3698" s="19"/>
      <c r="O3698" s="19"/>
      <c r="P3698" s="19"/>
      <c r="Q3698" s="19"/>
      <c r="R3698" s="19"/>
    </row>
    <row r="3699" spans="13:18">
      <c r="M3699" s="19"/>
      <c r="N3699" s="19"/>
      <c r="O3699" s="19"/>
      <c r="P3699" s="19"/>
      <c r="Q3699" s="19"/>
      <c r="R3699" s="19"/>
    </row>
    <row r="3700" spans="13:18">
      <c r="M3700" s="19"/>
      <c r="N3700" s="19"/>
      <c r="O3700" s="19"/>
      <c r="P3700" s="19"/>
      <c r="Q3700" s="19"/>
      <c r="R3700" s="19"/>
    </row>
    <row r="3701" spans="13:18">
      <c r="M3701" s="19"/>
      <c r="N3701" s="19"/>
      <c r="O3701" s="19"/>
      <c r="P3701" s="19"/>
      <c r="Q3701" s="19"/>
      <c r="R3701" s="19"/>
    </row>
    <row r="3702" spans="13:18">
      <c r="M3702" s="19"/>
      <c r="N3702" s="19"/>
      <c r="O3702" s="19"/>
      <c r="P3702" s="19"/>
      <c r="Q3702" s="19"/>
      <c r="R3702" s="19"/>
    </row>
    <row r="3703" spans="13:18">
      <c r="M3703" s="19"/>
      <c r="N3703" s="19"/>
      <c r="O3703" s="19"/>
      <c r="P3703" s="19"/>
      <c r="Q3703" s="19"/>
      <c r="R3703" s="19"/>
    </row>
    <row r="3704" spans="13:18">
      <c r="M3704" s="19"/>
      <c r="N3704" s="19"/>
      <c r="O3704" s="19"/>
      <c r="P3704" s="19"/>
      <c r="Q3704" s="19"/>
      <c r="R3704" s="19"/>
    </row>
    <row r="3705" spans="13:18">
      <c r="M3705" s="19"/>
      <c r="N3705" s="19"/>
      <c r="O3705" s="19"/>
      <c r="P3705" s="19"/>
      <c r="Q3705" s="19"/>
      <c r="R3705" s="19"/>
    </row>
    <row r="3706" spans="13:18">
      <c r="M3706" s="19"/>
      <c r="N3706" s="19"/>
      <c r="O3706" s="19"/>
      <c r="P3706" s="19"/>
      <c r="Q3706" s="19"/>
      <c r="R3706" s="19"/>
    </row>
    <row r="3707" spans="13:18">
      <c r="M3707" s="19"/>
      <c r="N3707" s="19"/>
      <c r="O3707" s="19"/>
      <c r="P3707" s="19"/>
      <c r="Q3707" s="19"/>
      <c r="R3707" s="19"/>
    </row>
    <row r="3708" spans="13:18">
      <c r="M3708" s="19"/>
      <c r="N3708" s="19"/>
      <c r="O3708" s="19"/>
      <c r="P3708" s="19"/>
      <c r="Q3708" s="19"/>
      <c r="R3708" s="19"/>
    </row>
    <row r="3709" spans="13:18">
      <c r="M3709" s="19"/>
      <c r="N3709" s="19"/>
      <c r="O3709" s="19"/>
      <c r="P3709" s="19"/>
      <c r="Q3709" s="19"/>
      <c r="R3709" s="19"/>
    </row>
    <row r="3710" spans="13:18">
      <c r="M3710" s="19"/>
      <c r="N3710" s="19"/>
      <c r="O3710" s="19"/>
      <c r="P3710" s="19"/>
      <c r="Q3710" s="19"/>
      <c r="R3710" s="19"/>
    </row>
    <row r="3711" spans="13:18">
      <c r="M3711" s="19"/>
      <c r="N3711" s="19"/>
      <c r="O3711" s="19"/>
      <c r="P3711" s="19"/>
      <c r="Q3711" s="19"/>
      <c r="R3711" s="19"/>
    </row>
    <row r="3712" spans="13:18">
      <c r="M3712" s="19"/>
      <c r="N3712" s="19"/>
      <c r="O3712" s="19"/>
      <c r="P3712" s="19"/>
      <c r="Q3712" s="19"/>
      <c r="R3712" s="19"/>
    </row>
    <row r="3713" spans="13:18">
      <c r="M3713" s="19"/>
      <c r="N3713" s="19"/>
      <c r="O3713" s="19"/>
      <c r="P3713" s="19"/>
      <c r="Q3713" s="19"/>
      <c r="R3713" s="19"/>
    </row>
    <row r="3714" spans="13:18">
      <c r="M3714" s="19"/>
      <c r="N3714" s="19"/>
      <c r="O3714" s="19"/>
      <c r="P3714" s="19"/>
      <c r="Q3714" s="19"/>
      <c r="R3714" s="19"/>
    </row>
    <row r="3715" spans="13:18">
      <c r="M3715" s="19"/>
      <c r="N3715" s="19"/>
      <c r="O3715" s="19"/>
      <c r="P3715" s="19"/>
      <c r="Q3715" s="19"/>
      <c r="R3715" s="19"/>
    </row>
    <row r="3716" spans="13:18">
      <c r="M3716" s="19"/>
      <c r="N3716" s="19"/>
      <c r="O3716" s="19"/>
      <c r="P3716" s="19"/>
      <c r="Q3716" s="19"/>
      <c r="R3716" s="19"/>
    </row>
    <row r="3717" spans="13:18">
      <c r="M3717" s="19"/>
      <c r="N3717" s="19"/>
      <c r="O3717" s="19"/>
      <c r="P3717" s="19"/>
      <c r="Q3717" s="19"/>
      <c r="R3717" s="19"/>
    </row>
    <row r="3718" spans="13:18">
      <c r="M3718" s="19"/>
      <c r="N3718" s="19"/>
      <c r="O3718" s="19"/>
      <c r="P3718" s="19"/>
      <c r="Q3718" s="19"/>
      <c r="R3718" s="19"/>
    </row>
    <row r="3719" spans="13:18">
      <c r="M3719" s="19"/>
      <c r="N3719" s="19"/>
      <c r="O3719" s="19"/>
      <c r="P3719" s="19"/>
      <c r="Q3719" s="19"/>
      <c r="R3719" s="19"/>
    </row>
    <row r="3720" spans="13:18">
      <c r="M3720" s="19"/>
      <c r="N3720" s="19"/>
      <c r="O3720" s="19"/>
      <c r="P3720" s="19"/>
      <c r="Q3720" s="19"/>
      <c r="R3720" s="19"/>
    </row>
    <row r="3721" spans="13:18">
      <c r="M3721" s="19"/>
      <c r="N3721" s="19"/>
      <c r="O3721" s="19"/>
      <c r="P3721" s="19"/>
      <c r="Q3721" s="19"/>
      <c r="R3721" s="19"/>
    </row>
    <row r="3722" spans="13:18">
      <c r="M3722" s="19"/>
      <c r="N3722" s="19"/>
      <c r="O3722" s="19"/>
      <c r="P3722" s="19"/>
      <c r="Q3722" s="19"/>
      <c r="R3722" s="19"/>
    </row>
    <row r="3723" spans="13:18">
      <c r="M3723" s="19"/>
      <c r="N3723" s="19"/>
      <c r="O3723" s="19"/>
      <c r="P3723" s="19"/>
      <c r="Q3723" s="19"/>
      <c r="R3723" s="19"/>
    </row>
    <row r="3724" spans="13:18">
      <c r="M3724" s="19"/>
      <c r="N3724" s="19"/>
      <c r="O3724" s="19"/>
      <c r="P3724" s="19"/>
      <c r="Q3724" s="19"/>
      <c r="R3724" s="19"/>
    </row>
    <row r="3725" spans="13:18">
      <c r="M3725" s="19"/>
      <c r="N3725" s="19"/>
      <c r="O3725" s="19"/>
      <c r="P3725" s="19"/>
      <c r="Q3725" s="19"/>
      <c r="R3725" s="19"/>
    </row>
    <row r="3726" spans="13:18">
      <c r="M3726" s="19"/>
      <c r="N3726" s="19"/>
      <c r="O3726" s="19"/>
      <c r="P3726" s="19"/>
      <c r="Q3726" s="19"/>
      <c r="R3726" s="19"/>
    </row>
    <row r="3727" spans="13:18">
      <c r="M3727" s="19"/>
      <c r="N3727" s="19"/>
      <c r="O3727" s="19"/>
      <c r="P3727" s="19"/>
      <c r="Q3727" s="19"/>
      <c r="R3727" s="19"/>
    </row>
    <row r="3728" spans="13:18">
      <c r="M3728" s="19"/>
      <c r="N3728" s="19"/>
      <c r="O3728" s="19"/>
      <c r="P3728" s="19"/>
      <c r="Q3728" s="19"/>
      <c r="R3728" s="19"/>
    </row>
    <row r="3729" spans="13:18">
      <c r="M3729" s="19"/>
      <c r="N3729" s="19"/>
      <c r="O3729" s="19"/>
      <c r="P3729" s="19"/>
      <c r="Q3729" s="19"/>
      <c r="R3729" s="19"/>
    </row>
    <row r="3730" spans="13:18">
      <c r="M3730" s="19"/>
      <c r="N3730" s="19"/>
      <c r="O3730" s="19"/>
      <c r="P3730" s="19"/>
      <c r="Q3730" s="19"/>
      <c r="R3730" s="19"/>
    </row>
    <row r="3731" spans="13:18">
      <c r="M3731" s="19"/>
      <c r="N3731" s="19"/>
      <c r="O3731" s="19"/>
      <c r="P3731" s="19"/>
      <c r="Q3731" s="19"/>
      <c r="R3731" s="19"/>
    </row>
    <row r="3732" spans="13:18">
      <c r="M3732" s="19"/>
      <c r="N3732" s="19"/>
      <c r="O3732" s="19"/>
      <c r="P3732" s="19"/>
      <c r="Q3732" s="19"/>
      <c r="R3732" s="19"/>
    </row>
    <row r="3733" spans="13:18">
      <c r="M3733" s="19"/>
      <c r="N3733" s="19"/>
      <c r="O3733" s="19"/>
      <c r="P3733" s="19"/>
      <c r="Q3733" s="19"/>
      <c r="R3733" s="19"/>
    </row>
    <row r="3734" spans="13:18">
      <c r="M3734" s="19"/>
      <c r="N3734" s="19"/>
      <c r="O3734" s="19"/>
      <c r="P3734" s="19"/>
      <c r="Q3734" s="19"/>
      <c r="R3734" s="19"/>
    </row>
    <row r="3735" spans="13:18">
      <c r="M3735" s="19"/>
      <c r="N3735" s="19"/>
      <c r="O3735" s="19"/>
      <c r="P3735" s="19"/>
      <c r="Q3735" s="19"/>
      <c r="R3735" s="19"/>
    </row>
    <row r="3736" spans="13:18">
      <c r="M3736" s="19"/>
      <c r="N3736" s="19"/>
      <c r="O3736" s="19"/>
      <c r="P3736" s="19"/>
      <c r="Q3736" s="19"/>
      <c r="R3736" s="19"/>
    </row>
    <row r="3737" spans="13:18">
      <c r="M3737" s="19"/>
      <c r="N3737" s="19"/>
      <c r="O3737" s="19"/>
      <c r="P3737" s="19"/>
      <c r="Q3737" s="19"/>
      <c r="R3737" s="19"/>
    </row>
    <row r="3738" spans="13:18">
      <c r="M3738" s="19"/>
      <c r="N3738" s="19"/>
      <c r="O3738" s="19"/>
      <c r="P3738" s="19"/>
      <c r="Q3738" s="19"/>
      <c r="R3738" s="19"/>
    </row>
    <row r="3739" spans="13:18">
      <c r="M3739" s="19"/>
      <c r="N3739" s="19"/>
      <c r="O3739" s="19"/>
      <c r="P3739" s="19"/>
      <c r="Q3739" s="19"/>
      <c r="R3739" s="19"/>
    </row>
    <row r="3740" spans="13:18">
      <c r="M3740" s="19"/>
      <c r="N3740" s="19"/>
      <c r="O3740" s="19"/>
      <c r="P3740" s="19"/>
      <c r="Q3740" s="19"/>
      <c r="R3740" s="19"/>
    </row>
    <row r="3741" spans="13:18">
      <c r="M3741" s="19"/>
      <c r="N3741" s="19"/>
      <c r="O3741" s="19"/>
      <c r="P3741" s="19"/>
      <c r="Q3741" s="19"/>
      <c r="R3741" s="19"/>
    </row>
    <row r="3742" spans="13:18">
      <c r="M3742" s="19"/>
      <c r="N3742" s="19"/>
      <c r="O3742" s="19"/>
      <c r="P3742" s="19"/>
      <c r="Q3742" s="19"/>
      <c r="R3742" s="19"/>
    </row>
    <row r="3743" spans="13:18">
      <c r="M3743" s="19"/>
      <c r="N3743" s="19"/>
      <c r="O3743" s="19"/>
      <c r="P3743" s="19"/>
      <c r="Q3743" s="19"/>
      <c r="R3743" s="19"/>
    </row>
    <row r="3744" spans="13:18">
      <c r="M3744" s="19"/>
      <c r="N3744" s="19"/>
      <c r="O3744" s="19"/>
      <c r="P3744" s="19"/>
      <c r="Q3744" s="19"/>
      <c r="R3744" s="19"/>
    </row>
    <row r="3745" spans="13:18">
      <c r="M3745" s="19"/>
      <c r="N3745" s="19"/>
      <c r="O3745" s="19"/>
      <c r="P3745" s="19"/>
      <c r="Q3745" s="19"/>
      <c r="R3745" s="19"/>
    </row>
    <row r="3746" spans="13:18">
      <c r="M3746" s="19"/>
      <c r="N3746" s="19"/>
      <c r="O3746" s="19"/>
      <c r="P3746" s="19"/>
      <c r="Q3746" s="19"/>
      <c r="R3746" s="19"/>
    </row>
    <row r="3747" spans="13:18">
      <c r="M3747" s="19"/>
      <c r="N3747" s="19"/>
      <c r="O3747" s="19"/>
      <c r="P3747" s="19"/>
      <c r="Q3747" s="19"/>
      <c r="R3747" s="19"/>
    </row>
    <row r="3748" spans="13:18">
      <c r="M3748" s="19"/>
      <c r="N3748" s="19"/>
      <c r="O3748" s="19"/>
      <c r="P3748" s="19"/>
      <c r="Q3748" s="19"/>
      <c r="R3748" s="19"/>
    </row>
    <row r="3749" spans="13:18">
      <c r="M3749" s="19"/>
      <c r="N3749" s="19"/>
      <c r="O3749" s="19"/>
      <c r="P3749" s="19"/>
      <c r="Q3749" s="19"/>
      <c r="R3749" s="19"/>
    </row>
    <row r="3750" spans="13:18">
      <c r="M3750" s="19"/>
      <c r="N3750" s="19"/>
      <c r="O3750" s="19"/>
      <c r="P3750" s="19"/>
      <c r="Q3750" s="19"/>
      <c r="R3750" s="19"/>
    </row>
    <row r="3751" spans="13:18">
      <c r="M3751" s="19"/>
      <c r="N3751" s="19"/>
      <c r="O3751" s="19"/>
      <c r="P3751" s="19"/>
      <c r="Q3751" s="19"/>
      <c r="R3751" s="19"/>
    </row>
    <row r="3752" spans="13:18">
      <c r="M3752" s="19"/>
      <c r="N3752" s="19"/>
      <c r="O3752" s="19"/>
      <c r="P3752" s="19"/>
      <c r="Q3752" s="19"/>
      <c r="R3752" s="19"/>
    </row>
    <row r="3753" spans="13:18">
      <c r="M3753" s="19"/>
      <c r="N3753" s="19"/>
      <c r="O3753" s="19"/>
      <c r="P3753" s="19"/>
      <c r="Q3753" s="19"/>
      <c r="R3753" s="19"/>
    </row>
    <row r="3754" spans="13:18">
      <c r="M3754" s="19"/>
      <c r="N3754" s="19"/>
      <c r="O3754" s="19"/>
      <c r="P3754" s="19"/>
      <c r="Q3754" s="19"/>
      <c r="R3754" s="19"/>
    </row>
    <row r="3755" spans="13:18">
      <c r="M3755" s="19"/>
      <c r="N3755" s="19"/>
      <c r="O3755" s="19"/>
      <c r="P3755" s="19"/>
      <c r="Q3755" s="19"/>
      <c r="R3755" s="19"/>
    </row>
    <row r="3756" spans="13:18">
      <c r="M3756" s="19"/>
      <c r="N3756" s="19"/>
      <c r="O3756" s="19"/>
      <c r="P3756" s="19"/>
      <c r="Q3756" s="19"/>
      <c r="R3756" s="19"/>
    </row>
    <row r="3757" spans="13:18">
      <c r="M3757" s="19"/>
      <c r="N3757" s="19"/>
      <c r="O3757" s="19"/>
      <c r="P3757" s="19"/>
      <c r="Q3757" s="19"/>
      <c r="R3757" s="19"/>
    </row>
    <row r="3758" spans="13:18">
      <c r="M3758" s="19"/>
      <c r="N3758" s="19"/>
      <c r="O3758" s="19"/>
      <c r="P3758" s="19"/>
      <c r="Q3758" s="19"/>
      <c r="R3758" s="19"/>
    </row>
    <row r="3759" spans="13:18">
      <c r="M3759" s="19"/>
      <c r="N3759" s="19"/>
      <c r="O3759" s="19"/>
      <c r="P3759" s="19"/>
      <c r="Q3759" s="19"/>
      <c r="R3759" s="19"/>
    </row>
    <row r="3760" spans="13:18">
      <c r="M3760" s="19"/>
      <c r="N3760" s="19"/>
      <c r="O3760" s="19"/>
      <c r="P3760" s="19"/>
      <c r="Q3760" s="19"/>
      <c r="R3760" s="19"/>
    </row>
    <row r="3761" spans="13:18">
      <c r="M3761" s="19"/>
      <c r="N3761" s="19"/>
      <c r="O3761" s="19"/>
      <c r="P3761" s="19"/>
      <c r="Q3761" s="19"/>
      <c r="R3761" s="19"/>
    </row>
    <row r="3762" spans="13:18">
      <c r="M3762" s="19"/>
      <c r="N3762" s="19"/>
      <c r="O3762" s="19"/>
      <c r="P3762" s="19"/>
      <c r="Q3762" s="19"/>
      <c r="R3762" s="19"/>
    </row>
    <row r="3763" spans="13:18">
      <c r="M3763" s="19"/>
      <c r="N3763" s="19"/>
      <c r="O3763" s="19"/>
      <c r="P3763" s="19"/>
      <c r="Q3763" s="19"/>
      <c r="R3763" s="19"/>
    </row>
    <row r="3764" spans="13:18">
      <c r="M3764" s="19"/>
      <c r="N3764" s="19"/>
      <c r="O3764" s="19"/>
      <c r="P3764" s="19"/>
      <c r="Q3764" s="19"/>
      <c r="R3764" s="19"/>
    </row>
    <row r="3765" spans="13:18">
      <c r="M3765" s="19"/>
      <c r="N3765" s="19"/>
      <c r="O3765" s="19"/>
      <c r="P3765" s="19"/>
      <c r="Q3765" s="19"/>
      <c r="R3765" s="19"/>
    </row>
    <row r="3766" spans="13:18">
      <c r="M3766" s="19"/>
      <c r="N3766" s="19"/>
      <c r="O3766" s="19"/>
      <c r="P3766" s="19"/>
      <c r="Q3766" s="19"/>
      <c r="R3766" s="19"/>
    </row>
    <row r="3767" spans="13:18">
      <c r="M3767" s="19"/>
      <c r="N3767" s="19"/>
      <c r="O3767" s="19"/>
      <c r="P3767" s="19"/>
      <c r="Q3767" s="19"/>
      <c r="R3767" s="19"/>
    </row>
    <row r="3768" spans="13:18">
      <c r="M3768" s="19"/>
      <c r="N3768" s="19"/>
      <c r="O3768" s="19"/>
      <c r="P3768" s="19"/>
      <c r="Q3768" s="19"/>
      <c r="R3768" s="19"/>
    </row>
    <row r="3769" spans="13:18">
      <c r="M3769" s="19"/>
      <c r="N3769" s="19"/>
      <c r="O3769" s="19"/>
      <c r="P3769" s="19"/>
      <c r="Q3769" s="19"/>
      <c r="R3769" s="19"/>
    </row>
    <row r="3770" spans="13:18">
      <c r="M3770" s="19"/>
      <c r="N3770" s="19"/>
      <c r="O3770" s="19"/>
      <c r="P3770" s="19"/>
      <c r="Q3770" s="19"/>
      <c r="R3770" s="19"/>
    </row>
    <row r="3771" spans="13:18">
      <c r="M3771" s="19"/>
      <c r="N3771" s="19"/>
      <c r="O3771" s="19"/>
      <c r="P3771" s="19"/>
      <c r="Q3771" s="19"/>
      <c r="R3771" s="19"/>
    </row>
    <row r="3772" spans="13:18">
      <c r="M3772" s="19"/>
      <c r="N3772" s="19"/>
      <c r="O3772" s="19"/>
      <c r="P3772" s="19"/>
      <c r="Q3772" s="19"/>
      <c r="R3772" s="19"/>
    </row>
    <row r="3773" spans="13:18">
      <c r="M3773" s="19"/>
      <c r="N3773" s="19"/>
      <c r="O3773" s="19"/>
      <c r="P3773" s="19"/>
      <c r="Q3773" s="19"/>
      <c r="R3773" s="19"/>
    </row>
    <row r="3774" spans="13:18">
      <c r="M3774" s="19"/>
      <c r="N3774" s="19"/>
      <c r="O3774" s="19"/>
      <c r="P3774" s="19"/>
      <c r="Q3774" s="19"/>
      <c r="R3774" s="19"/>
    </row>
    <row r="3775" spans="13:18">
      <c r="M3775" s="19"/>
      <c r="N3775" s="19"/>
      <c r="O3775" s="19"/>
      <c r="P3775" s="19"/>
      <c r="Q3775" s="19"/>
      <c r="R3775" s="19"/>
    </row>
    <row r="3776" spans="13:18">
      <c r="M3776" s="19"/>
      <c r="N3776" s="19"/>
      <c r="O3776" s="19"/>
      <c r="P3776" s="19"/>
      <c r="Q3776" s="19"/>
      <c r="R3776" s="19"/>
    </row>
    <row r="3777" spans="13:18">
      <c r="M3777" s="19"/>
      <c r="N3777" s="19"/>
      <c r="O3777" s="19"/>
      <c r="P3777" s="19"/>
      <c r="Q3777" s="19"/>
      <c r="R3777" s="19"/>
    </row>
    <row r="3778" spans="13:18">
      <c r="M3778" s="19"/>
      <c r="N3778" s="19"/>
      <c r="O3778" s="19"/>
      <c r="P3778" s="19"/>
      <c r="Q3778" s="19"/>
      <c r="R3778" s="19"/>
    </row>
    <row r="3779" spans="13:18">
      <c r="M3779" s="19"/>
      <c r="N3779" s="19"/>
      <c r="O3779" s="19"/>
      <c r="P3779" s="19"/>
      <c r="Q3779" s="19"/>
      <c r="R3779" s="19"/>
    </row>
    <row r="3780" spans="13:18">
      <c r="M3780" s="19"/>
      <c r="N3780" s="19"/>
      <c r="O3780" s="19"/>
      <c r="P3780" s="19"/>
      <c r="Q3780" s="19"/>
      <c r="R3780" s="19"/>
    </row>
    <row r="3781" spans="13:18">
      <c r="M3781" s="19"/>
      <c r="N3781" s="19"/>
      <c r="O3781" s="19"/>
      <c r="P3781" s="19"/>
      <c r="Q3781" s="19"/>
      <c r="R3781" s="19"/>
    </row>
    <row r="3782" spans="13:18">
      <c r="M3782" s="19"/>
      <c r="N3782" s="19"/>
      <c r="O3782" s="19"/>
      <c r="P3782" s="19"/>
      <c r="Q3782" s="19"/>
      <c r="R3782" s="19"/>
    </row>
    <row r="3783" spans="13:18">
      <c r="M3783" s="19"/>
      <c r="N3783" s="19"/>
      <c r="O3783" s="19"/>
      <c r="P3783" s="19"/>
      <c r="Q3783" s="19"/>
      <c r="R3783" s="19"/>
    </row>
    <row r="3784" spans="13:18">
      <c r="M3784" s="19"/>
      <c r="N3784" s="19"/>
      <c r="O3784" s="19"/>
      <c r="P3784" s="19"/>
      <c r="Q3784" s="19"/>
      <c r="R3784" s="19"/>
    </row>
    <row r="3785" spans="13:18">
      <c r="M3785" s="19"/>
      <c r="N3785" s="19"/>
      <c r="O3785" s="19"/>
      <c r="P3785" s="19"/>
      <c r="Q3785" s="19"/>
      <c r="R3785" s="19"/>
    </row>
    <row r="3786" spans="13:18">
      <c r="M3786" s="19"/>
      <c r="N3786" s="19"/>
      <c r="O3786" s="19"/>
      <c r="P3786" s="19"/>
      <c r="Q3786" s="19"/>
      <c r="R3786" s="19"/>
    </row>
    <row r="3787" spans="13:18">
      <c r="M3787" s="19"/>
      <c r="N3787" s="19"/>
      <c r="O3787" s="19"/>
      <c r="P3787" s="19"/>
      <c r="Q3787" s="19"/>
      <c r="R3787" s="19"/>
    </row>
    <row r="3788" spans="13:18">
      <c r="M3788" s="19"/>
      <c r="N3788" s="19"/>
      <c r="O3788" s="19"/>
      <c r="P3788" s="19"/>
      <c r="Q3788" s="19"/>
      <c r="R3788" s="19"/>
    </row>
    <row r="3789" spans="13:18">
      <c r="M3789" s="19"/>
      <c r="N3789" s="19"/>
      <c r="O3789" s="19"/>
      <c r="P3789" s="19"/>
      <c r="Q3789" s="19"/>
      <c r="R3789" s="19"/>
    </row>
    <row r="3790" spans="13:18">
      <c r="M3790" s="19"/>
      <c r="N3790" s="19"/>
      <c r="O3790" s="19"/>
      <c r="P3790" s="19"/>
      <c r="Q3790" s="19"/>
      <c r="R3790" s="19"/>
    </row>
    <row r="3791" spans="13:18">
      <c r="M3791" s="19"/>
      <c r="N3791" s="19"/>
      <c r="O3791" s="19"/>
      <c r="P3791" s="19"/>
      <c r="Q3791" s="19"/>
      <c r="R3791" s="19"/>
    </row>
    <row r="3792" spans="13:18">
      <c r="M3792" s="19"/>
      <c r="N3792" s="19"/>
      <c r="O3792" s="19"/>
      <c r="P3792" s="19"/>
      <c r="Q3792" s="19"/>
      <c r="R3792" s="19"/>
    </row>
    <row r="3793" spans="13:18">
      <c r="M3793" s="19"/>
      <c r="N3793" s="19"/>
      <c r="O3793" s="19"/>
      <c r="P3793" s="19"/>
      <c r="Q3793" s="19"/>
      <c r="R3793" s="19"/>
    </row>
    <row r="3794" spans="13:18">
      <c r="M3794" s="19"/>
      <c r="N3794" s="19"/>
      <c r="O3794" s="19"/>
      <c r="P3794" s="19"/>
      <c r="Q3794" s="19"/>
      <c r="R3794" s="19"/>
    </row>
    <row r="3795" spans="13:18">
      <c r="M3795" s="19"/>
      <c r="N3795" s="19"/>
      <c r="O3795" s="19"/>
      <c r="P3795" s="19"/>
      <c r="Q3795" s="19"/>
      <c r="R3795" s="19"/>
    </row>
    <row r="3796" spans="13:18">
      <c r="M3796" s="19"/>
      <c r="N3796" s="19"/>
      <c r="O3796" s="19"/>
      <c r="P3796" s="19"/>
      <c r="Q3796" s="19"/>
      <c r="R3796" s="19"/>
    </row>
    <row r="3797" spans="13:18">
      <c r="M3797" s="19"/>
      <c r="N3797" s="19"/>
      <c r="O3797" s="19"/>
      <c r="P3797" s="19"/>
      <c r="Q3797" s="19"/>
      <c r="R3797" s="19"/>
    </row>
    <row r="3798" spans="13:18">
      <c r="M3798" s="19"/>
      <c r="N3798" s="19"/>
      <c r="O3798" s="19"/>
      <c r="P3798" s="19"/>
      <c r="Q3798" s="19"/>
      <c r="R3798" s="19"/>
    </row>
    <row r="3799" spans="13:18">
      <c r="M3799" s="19"/>
      <c r="N3799" s="19"/>
      <c r="O3799" s="19"/>
      <c r="P3799" s="19"/>
      <c r="Q3799" s="19"/>
      <c r="R3799" s="19"/>
    </row>
    <row r="3800" spans="13:18">
      <c r="M3800" s="19"/>
      <c r="N3800" s="19"/>
      <c r="O3800" s="19"/>
      <c r="P3800" s="19"/>
      <c r="Q3800" s="19"/>
      <c r="R3800" s="19"/>
    </row>
    <row r="3801" spans="13:18">
      <c r="M3801" s="19"/>
      <c r="N3801" s="19"/>
      <c r="O3801" s="19"/>
      <c r="P3801" s="19"/>
      <c r="Q3801" s="19"/>
      <c r="R3801" s="19"/>
    </row>
    <row r="3802" spans="13:18">
      <c r="M3802" s="19"/>
      <c r="N3802" s="19"/>
      <c r="O3802" s="19"/>
      <c r="P3802" s="19"/>
      <c r="Q3802" s="19"/>
      <c r="R3802" s="19"/>
    </row>
    <row r="3803" spans="13:18">
      <c r="M3803" s="19"/>
      <c r="N3803" s="19"/>
      <c r="O3803" s="19"/>
      <c r="P3803" s="19"/>
      <c r="Q3803" s="19"/>
      <c r="R3803" s="19"/>
    </row>
    <row r="3804" spans="13:18">
      <c r="M3804" s="19"/>
      <c r="N3804" s="19"/>
      <c r="O3804" s="19"/>
      <c r="P3804" s="19"/>
      <c r="Q3804" s="19"/>
      <c r="R3804" s="19"/>
    </row>
    <row r="3805" spans="13:18">
      <c r="M3805" s="19"/>
      <c r="N3805" s="19"/>
      <c r="O3805" s="19"/>
      <c r="P3805" s="19"/>
      <c r="Q3805" s="19"/>
      <c r="R3805" s="19"/>
    </row>
    <row r="3806" spans="13:18">
      <c r="M3806" s="19"/>
      <c r="N3806" s="19"/>
      <c r="O3806" s="19"/>
      <c r="P3806" s="19"/>
      <c r="Q3806" s="19"/>
      <c r="R3806" s="19"/>
    </row>
    <row r="3807" spans="13:18">
      <c r="M3807" s="19"/>
      <c r="N3807" s="19"/>
      <c r="O3807" s="19"/>
      <c r="P3807" s="19"/>
      <c r="Q3807" s="19"/>
      <c r="R3807" s="19"/>
    </row>
    <row r="3808" spans="13:18">
      <c r="M3808" s="19"/>
      <c r="N3808" s="19"/>
      <c r="O3808" s="19"/>
      <c r="P3808" s="19"/>
      <c r="Q3808" s="19"/>
      <c r="R3808" s="19"/>
    </row>
    <row r="3809" spans="13:18">
      <c r="M3809" s="19"/>
      <c r="N3809" s="19"/>
      <c r="O3809" s="19"/>
      <c r="P3809" s="19"/>
      <c r="Q3809" s="19"/>
      <c r="R3809" s="19"/>
    </row>
    <row r="3810" spans="13:18">
      <c r="M3810" s="19"/>
      <c r="N3810" s="19"/>
      <c r="O3810" s="19"/>
      <c r="P3810" s="19"/>
      <c r="Q3810" s="19"/>
      <c r="R3810" s="19"/>
    </row>
    <row r="3811" spans="13:18">
      <c r="M3811" s="19"/>
      <c r="N3811" s="19"/>
      <c r="O3811" s="19"/>
      <c r="P3811" s="19"/>
      <c r="Q3811" s="19"/>
      <c r="R3811" s="19"/>
    </row>
    <row r="3812" spans="13:18">
      <c r="M3812" s="19"/>
      <c r="N3812" s="19"/>
      <c r="O3812" s="19"/>
      <c r="P3812" s="19"/>
      <c r="Q3812" s="19"/>
      <c r="R3812" s="19"/>
    </row>
    <row r="3813" spans="13:18">
      <c r="M3813" s="19"/>
      <c r="N3813" s="19"/>
      <c r="O3813" s="19"/>
      <c r="P3813" s="19"/>
      <c r="Q3813" s="19"/>
      <c r="R3813" s="19"/>
    </row>
    <row r="3814" spans="13:18">
      <c r="M3814" s="19"/>
      <c r="N3814" s="19"/>
      <c r="O3814" s="19"/>
      <c r="P3814" s="19"/>
      <c r="Q3814" s="19"/>
      <c r="R3814" s="19"/>
    </row>
    <row r="3815" spans="13:18">
      <c r="M3815" s="19"/>
      <c r="N3815" s="19"/>
      <c r="O3815" s="19"/>
      <c r="P3815" s="19"/>
      <c r="Q3815" s="19"/>
      <c r="R3815" s="19"/>
    </row>
    <row r="3816" spans="13:18">
      <c r="M3816" s="19"/>
      <c r="N3816" s="19"/>
      <c r="O3816" s="19"/>
      <c r="P3816" s="19"/>
      <c r="Q3816" s="19"/>
      <c r="R3816" s="19"/>
    </row>
    <row r="3817" spans="13:18">
      <c r="M3817" s="19"/>
      <c r="N3817" s="19"/>
      <c r="O3817" s="19"/>
      <c r="P3817" s="19"/>
      <c r="Q3817" s="19"/>
      <c r="R3817" s="19"/>
    </row>
    <row r="3818" spans="13:18">
      <c r="M3818" s="19"/>
      <c r="N3818" s="19"/>
      <c r="O3818" s="19"/>
      <c r="P3818" s="19"/>
      <c r="Q3818" s="19"/>
      <c r="R3818" s="19"/>
    </row>
    <row r="3819" spans="13:18">
      <c r="M3819" s="19"/>
      <c r="N3819" s="19"/>
      <c r="O3819" s="19"/>
      <c r="P3819" s="19"/>
      <c r="Q3819" s="19"/>
      <c r="R3819" s="19"/>
    </row>
    <row r="3820" spans="13:18">
      <c r="M3820" s="19"/>
      <c r="N3820" s="19"/>
      <c r="O3820" s="19"/>
      <c r="P3820" s="19"/>
      <c r="Q3820" s="19"/>
      <c r="R3820" s="19"/>
    </row>
    <row r="3821" spans="13:18">
      <c r="M3821" s="19"/>
      <c r="N3821" s="19"/>
      <c r="O3821" s="19"/>
      <c r="P3821" s="19"/>
      <c r="Q3821" s="19"/>
      <c r="R3821" s="19"/>
    </row>
    <row r="3822" spans="13:18">
      <c r="M3822" s="19"/>
      <c r="N3822" s="19"/>
      <c r="O3822" s="19"/>
      <c r="P3822" s="19"/>
      <c r="Q3822" s="19"/>
      <c r="R3822" s="19"/>
    </row>
    <row r="3823" spans="13:18">
      <c r="M3823" s="19"/>
      <c r="N3823" s="19"/>
      <c r="O3823" s="19"/>
      <c r="P3823" s="19"/>
      <c r="Q3823" s="19"/>
      <c r="R3823" s="19"/>
    </row>
    <row r="3824" spans="13:18">
      <c r="M3824" s="19"/>
      <c r="N3824" s="19"/>
      <c r="O3824" s="19"/>
      <c r="P3824" s="19"/>
      <c r="Q3824" s="19"/>
      <c r="R3824" s="19"/>
    </row>
    <row r="3825" spans="13:18">
      <c r="M3825" s="19"/>
      <c r="N3825" s="19"/>
      <c r="O3825" s="19"/>
      <c r="P3825" s="19"/>
      <c r="Q3825" s="19"/>
      <c r="R3825" s="19"/>
    </row>
    <row r="3826" spans="13:18">
      <c r="M3826" s="19"/>
      <c r="N3826" s="19"/>
      <c r="O3826" s="19"/>
      <c r="P3826" s="19"/>
      <c r="Q3826" s="19"/>
      <c r="R3826" s="19"/>
    </row>
    <row r="3827" spans="13:18">
      <c r="M3827" s="19"/>
      <c r="N3827" s="19"/>
      <c r="O3827" s="19"/>
      <c r="P3827" s="19"/>
      <c r="Q3827" s="19"/>
      <c r="R3827" s="19"/>
    </row>
    <row r="3828" spans="13:18">
      <c r="M3828" s="19"/>
      <c r="N3828" s="19"/>
      <c r="O3828" s="19"/>
      <c r="P3828" s="19"/>
      <c r="Q3828" s="19"/>
      <c r="R3828" s="19"/>
    </row>
    <row r="3829" spans="13:18">
      <c r="M3829" s="19"/>
      <c r="N3829" s="19"/>
      <c r="O3829" s="19"/>
      <c r="P3829" s="19"/>
      <c r="Q3829" s="19"/>
      <c r="R3829" s="19"/>
    </row>
    <row r="3830" spans="13:18">
      <c r="M3830" s="19"/>
      <c r="N3830" s="19"/>
      <c r="O3830" s="19"/>
      <c r="P3830" s="19"/>
      <c r="Q3830" s="19"/>
      <c r="R3830" s="19"/>
    </row>
    <row r="3831" spans="13:18">
      <c r="M3831" s="19"/>
      <c r="N3831" s="19"/>
      <c r="O3831" s="19"/>
      <c r="P3831" s="19"/>
      <c r="Q3831" s="19"/>
      <c r="R3831" s="19"/>
    </row>
    <row r="3832" spans="13:18">
      <c r="M3832" s="19"/>
      <c r="N3832" s="19"/>
      <c r="O3832" s="19"/>
      <c r="P3832" s="19"/>
      <c r="Q3832" s="19"/>
      <c r="R3832" s="19"/>
    </row>
    <row r="3833" spans="13:18">
      <c r="M3833" s="19"/>
      <c r="N3833" s="19"/>
      <c r="O3833" s="19"/>
      <c r="P3833" s="19"/>
      <c r="Q3833" s="19"/>
      <c r="R3833" s="19"/>
    </row>
    <row r="3834" spans="13:18">
      <c r="M3834" s="19"/>
      <c r="N3834" s="19"/>
      <c r="O3834" s="19"/>
      <c r="P3834" s="19"/>
      <c r="Q3834" s="19"/>
      <c r="R3834" s="19"/>
    </row>
    <row r="3835" spans="13:18">
      <c r="M3835" s="19"/>
      <c r="N3835" s="19"/>
      <c r="O3835" s="19"/>
      <c r="P3835" s="19"/>
      <c r="Q3835" s="19"/>
      <c r="R3835" s="19"/>
    </row>
    <row r="3836" spans="13:18">
      <c r="M3836" s="19"/>
      <c r="N3836" s="19"/>
      <c r="O3836" s="19"/>
      <c r="P3836" s="19"/>
      <c r="Q3836" s="19"/>
      <c r="R3836" s="19"/>
    </row>
    <row r="3837" spans="13:18">
      <c r="M3837" s="19"/>
      <c r="N3837" s="19"/>
      <c r="O3837" s="19"/>
      <c r="P3837" s="19"/>
      <c r="Q3837" s="19"/>
      <c r="R3837" s="19"/>
    </row>
    <row r="3838" spans="13:18">
      <c r="M3838" s="19"/>
      <c r="N3838" s="19"/>
      <c r="O3838" s="19"/>
      <c r="P3838" s="19"/>
      <c r="Q3838" s="19"/>
      <c r="R3838" s="19"/>
    </row>
    <row r="3839" spans="13:18">
      <c r="M3839" s="19"/>
      <c r="N3839" s="19"/>
      <c r="O3839" s="19"/>
      <c r="P3839" s="19"/>
      <c r="Q3839" s="19"/>
      <c r="R3839" s="19"/>
    </row>
    <row r="3840" spans="13:18">
      <c r="M3840" s="19"/>
      <c r="N3840" s="19"/>
      <c r="O3840" s="19"/>
      <c r="P3840" s="19"/>
      <c r="Q3840" s="19"/>
      <c r="R3840" s="19"/>
    </row>
    <row r="3841" spans="13:18">
      <c r="M3841" s="19"/>
      <c r="N3841" s="19"/>
      <c r="O3841" s="19"/>
      <c r="P3841" s="19"/>
      <c r="Q3841" s="19"/>
      <c r="R3841" s="19"/>
    </row>
    <row r="3842" spans="13:18">
      <c r="M3842" s="19"/>
      <c r="N3842" s="19"/>
      <c r="O3842" s="19"/>
      <c r="P3842" s="19"/>
      <c r="Q3842" s="19"/>
      <c r="R3842" s="19"/>
    </row>
    <row r="3843" spans="13:18">
      <c r="M3843" s="19"/>
      <c r="N3843" s="19"/>
      <c r="O3843" s="19"/>
      <c r="P3843" s="19"/>
      <c r="Q3843" s="19"/>
      <c r="R3843" s="19"/>
    </row>
    <row r="3844" spans="13:18">
      <c r="M3844" s="19"/>
      <c r="N3844" s="19"/>
      <c r="O3844" s="19"/>
      <c r="P3844" s="19"/>
      <c r="Q3844" s="19"/>
      <c r="R3844" s="19"/>
    </row>
    <row r="3845" spans="13:18">
      <c r="M3845" s="19"/>
      <c r="N3845" s="19"/>
      <c r="O3845" s="19"/>
      <c r="P3845" s="19"/>
      <c r="Q3845" s="19"/>
      <c r="R3845" s="19"/>
    </row>
    <row r="3846" spans="13:18">
      <c r="M3846" s="19"/>
      <c r="N3846" s="19"/>
      <c r="O3846" s="19"/>
      <c r="P3846" s="19"/>
      <c r="Q3846" s="19"/>
      <c r="R3846" s="19"/>
    </row>
    <row r="3847" spans="13:18">
      <c r="M3847" s="19"/>
      <c r="N3847" s="19"/>
      <c r="O3847" s="19"/>
      <c r="P3847" s="19"/>
      <c r="Q3847" s="19"/>
      <c r="R3847" s="19"/>
    </row>
    <row r="3848" spans="13:18">
      <c r="M3848" s="19"/>
      <c r="N3848" s="19"/>
      <c r="O3848" s="19"/>
      <c r="P3848" s="19"/>
      <c r="Q3848" s="19"/>
      <c r="R3848" s="19"/>
    </row>
    <row r="3849" spans="13:18">
      <c r="M3849" s="19"/>
      <c r="N3849" s="19"/>
      <c r="O3849" s="19"/>
      <c r="P3849" s="19"/>
      <c r="Q3849" s="19"/>
      <c r="R3849" s="19"/>
    </row>
    <row r="3850" spans="13:18">
      <c r="M3850" s="19"/>
      <c r="N3850" s="19"/>
      <c r="O3850" s="19"/>
      <c r="P3850" s="19"/>
      <c r="Q3850" s="19"/>
      <c r="R3850" s="19"/>
    </row>
    <row r="3851" spans="13:18">
      <c r="M3851" s="19"/>
      <c r="N3851" s="19"/>
      <c r="O3851" s="19"/>
      <c r="P3851" s="19"/>
      <c r="Q3851" s="19"/>
      <c r="R3851" s="19"/>
    </row>
    <row r="3852" spans="13:18">
      <c r="M3852" s="19"/>
      <c r="N3852" s="19"/>
      <c r="O3852" s="19"/>
      <c r="P3852" s="19"/>
      <c r="Q3852" s="19"/>
      <c r="R3852" s="19"/>
    </row>
    <row r="3853" spans="13:18">
      <c r="M3853" s="19"/>
      <c r="N3853" s="19"/>
      <c r="O3853" s="19"/>
      <c r="P3853" s="19"/>
      <c r="Q3853" s="19"/>
      <c r="R3853" s="19"/>
    </row>
    <row r="3854" spans="13:18">
      <c r="M3854" s="19"/>
      <c r="N3854" s="19"/>
      <c r="O3854" s="19"/>
      <c r="P3854" s="19"/>
      <c r="Q3854" s="19"/>
      <c r="R3854" s="19"/>
    </row>
    <row r="3855" spans="13:18">
      <c r="M3855" s="19"/>
      <c r="N3855" s="19"/>
      <c r="O3855" s="19"/>
      <c r="P3855" s="19"/>
      <c r="Q3855" s="19"/>
      <c r="R3855" s="19"/>
    </row>
    <row r="3856" spans="13:18">
      <c r="M3856" s="19"/>
      <c r="N3856" s="19"/>
      <c r="O3856" s="19"/>
      <c r="P3856" s="19"/>
      <c r="Q3856" s="19"/>
      <c r="R3856" s="19"/>
    </row>
    <row r="3857" spans="13:18">
      <c r="M3857" s="19"/>
      <c r="N3857" s="19"/>
      <c r="O3857" s="19"/>
      <c r="P3857" s="19"/>
      <c r="Q3857" s="19"/>
      <c r="R3857" s="19"/>
    </row>
    <row r="3858" spans="13:18">
      <c r="M3858" s="19"/>
      <c r="N3858" s="19"/>
      <c r="O3858" s="19"/>
      <c r="P3858" s="19"/>
      <c r="Q3858" s="19"/>
      <c r="R3858" s="19"/>
    </row>
    <row r="3859" spans="13:18">
      <c r="M3859" s="19"/>
      <c r="N3859" s="19"/>
      <c r="O3859" s="19"/>
      <c r="P3859" s="19"/>
      <c r="Q3859" s="19"/>
      <c r="R3859" s="19"/>
    </row>
    <row r="3860" spans="13:18">
      <c r="M3860" s="19"/>
      <c r="N3860" s="19"/>
      <c r="O3860" s="19"/>
      <c r="P3860" s="19"/>
      <c r="Q3860" s="19"/>
      <c r="R3860" s="19"/>
    </row>
    <row r="3861" spans="13:18">
      <c r="M3861" s="19"/>
      <c r="N3861" s="19"/>
      <c r="O3861" s="19"/>
      <c r="P3861" s="19"/>
      <c r="Q3861" s="19"/>
      <c r="R3861" s="19"/>
    </row>
    <row r="3862" spans="13:18">
      <c r="M3862" s="19"/>
      <c r="N3862" s="19"/>
      <c r="O3862" s="19"/>
      <c r="P3862" s="19"/>
      <c r="Q3862" s="19"/>
      <c r="R3862" s="19"/>
    </row>
    <row r="3863" spans="13:18">
      <c r="M3863" s="19"/>
      <c r="N3863" s="19"/>
      <c r="O3863" s="19"/>
      <c r="P3863" s="19"/>
      <c r="Q3863" s="19"/>
      <c r="R3863" s="19"/>
    </row>
    <row r="3864" spans="13:18">
      <c r="M3864" s="19"/>
      <c r="N3864" s="19"/>
      <c r="O3864" s="19"/>
      <c r="P3864" s="19"/>
      <c r="Q3864" s="19"/>
      <c r="R3864" s="19"/>
    </row>
    <row r="3865" spans="13:18">
      <c r="M3865" s="19"/>
      <c r="N3865" s="19"/>
      <c r="O3865" s="19"/>
      <c r="P3865" s="19"/>
      <c r="Q3865" s="19"/>
      <c r="R3865" s="19"/>
    </row>
    <row r="3866" spans="13:18">
      <c r="M3866" s="19"/>
      <c r="N3866" s="19"/>
      <c r="O3866" s="19"/>
      <c r="P3866" s="19"/>
      <c r="Q3866" s="19"/>
      <c r="R3866" s="19"/>
    </row>
    <row r="3867" spans="13:18">
      <c r="M3867" s="19"/>
      <c r="N3867" s="19"/>
      <c r="O3867" s="19"/>
      <c r="P3867" s="19"/>
      <c r="Q3867" s="19"/>
      <c r="R3867" s="19"/>
    </row>
    <row r="3868" spans="13:18">
      <c r="M3868" s="19"/>
      <c r="N3868" s="19"/>
      <c r="O3868" s="19"/>
      <c r="P3868" s="19"/>
      <c r="Q3868" s="19"/>
      <c r="R3868" s="19"/>
    </row>
    <row r="3869" spans="13:18">
      <c r="M3869" s="19"/>
      <c r="N3869" s="19"/>
      <c r="O3869" s="19"/>
      <c r="P3869" s="19"/>
      <c r="Q3869" s="19"/>
      <c r="R3869" s="19"/>
    </row>
    <row r="3870" spans="13:18">
      <c r="M3870" s="19"/>
      <c r="N3870" s="19"/>
      <c r="O3870" s="19"/>
      <c r="P3870" s="19"/>
      <c r="Q3870" s="19"/>
      <c r="R3870" s="19"/>
    </row>
    <row r="3871" spans="13:18">
      <c r="M3871" s="19"/>
      <c r="N3871" s="19"/>
      <c r="O3871" s="19"/>
      <c r="P3871" s="19"/>
      <c r="Q3871" s="19"/>
      <c r="R3871" s="19"/>
    </row>
    <row r="3872" spans="13:18">
      <c r="M3872" s="19"/>
      <c r="N3872" s="19"/>
      <c r="O3872" s="19"/>
      <c r="P3872" s="19"/>
      <c r="Q3872" s="19"/>
      <c r="R3872" s="19"/>
    </row>
    <row r="3873" spans="13:18">
      <c r="M3873" s="19"/>
      <c r="N3873" s="19"/>
      <c r="O3873" s="19"/>
      <c r="P3873" s="19"/>
      <c r="Q3873" s="19"/>
      <c r="R3873" s="19"/>
    </row>
    <row r="3874" spans="13:18">
      <c r="M3874" s="19"/>
      <c r="N3874" s="19"/>
      <c r="O3874" s="19"/>
      <c r="P3874" s="19"/>
      <c r="Q3874" s="19"/>
      <c r="R3874" s="19"/>
    </row>
    <row r="3875" spans="13:18">
      <c r="M3875" s="19"/>
      <c r="N3875" s="19"/>
      <c r="O3875" s="19"/>
      <c r="P3875" s="19"/>
      <c r="Q3875" s="19"/>
      <c r="R3875" s="19"/>
    </row>
    <row r="3876" spans="13:18">
      <c r="M3876" s="19"/>
      <c r="N3876" s="19"/>
      <c r="O3876" s="19"/>
      <c r="P3876" s="19"/>
      <c r="Q3876" s="19"/>
      <c r="R3876" s="19"/>
    </row>
    <row r="3877" spans="13:18">
      <c r="M3877" s="19"/>
      <c r="N3877" s="19"/>
      <c r="O3877" s="19"/>
      <c r="P3877" s="19"/>
      <c r="Q3877" s="19"/>
      <c r="R3877" s="19"/>
    </row>
    <row r="3878" spans="13:18">
      <c r="M3878" s="19"/>
      <c r="N3878" s="19"/>
      <c r="O3878" s="19"/>
      <c r="P3878" s="19"/>
      <c r="Q3878" s="19"/>
      <c r="R3878" s="19"/>
    </row>
    <row r="3879" spans="13:18">
      <c r="M3879" s="19"/>
      <c r="N3879" s="19"/>
      <c r="O3879" s="19"/>
      <c r="P3879" s="19"/>
      <c r="Q3879" s="19"/>
      <c r="R3879" s="19"/>
    </row>
    <row r="3880" spans="13:18">
      <c r="M3880" s="19"/>
      <c r="N3880" s="19"/>
      <c r="O3880" s="19"/>
      <c r="P3880" s="19"/>
      <c r="Q3880" s="19"/>
      <c r="R3880" s="19"/>
    </row>
    <row r="3881" spans="13:18">
      <c r="M3881" s="19"/>
      <c r="N3881" s="19"/>
      <c r="O3881" s="19"/>
      <c r="P3881" s="19"/>
      <c r="Q3881" s="19"/>
      <c r="R3881" s="19"/>
    </row>
    <row r="3882" spans="13:18">
      <c r="M3882" s="19"/>
      <c r="N3882" s="19"/>
      <c r="O3882" s="19"/>
      <c r="P3882" s="19"/>
      <c r="Q3882" s="19"/>
      <c r="R3882" s="19"/>
    </row>
    <row r="3883" spans="13:18">
      <c r="M3883" s="19"/>
      <c r="N3883" s="19"/>
      <c r="O3883" s="19"/>
      <c r="P3883" s="19"/>
      <c r="Q3883" s="19"/>
      <c r="R3883" s="19"/>
    </row>
    <row r="3884" spans="13:18">
      <c r="M3884" s="19"/>
      <c r="N3884" s="19"/>
      <c r="O3884" s="19"/>
      <c r="P3884" s="19"/>
      <c r="Q3884" s="19"/>
      <c r="R3884" s="19"/>
    </row>
    <row r="3885" spans="13:18">
      <c r="M3885" s="19"/>
      <c r="N3885" s="19"/>
      <c r="O3885" s="19"/>
      <c r="P3885" s="19"/>
      <c r="Q3885" s="19"/>
      <c r="R3885" s="19"/>
    </row>
    <row r="3886" spans="13:18">
      <c r="M3886" s="19"/>
      <c r="N3886" s="19"/>
      <c r="O3886" s="19"/>
      <c r="P3886" s="19"/>
      <c r="Q3886" s="19"/>
      <c r="R3886" s="19"/>
    </row>
    <row r="3887" spans="13:18">
      <c r="M3887" s="19"/>
      <c r="N3887" s="19"/>
      <c r="O3887" s="19"/>
      <c r="P3887" s="19"/>
      <c r="Q3887" s="19"/>
      <c r="R3887" s="19"/>
    </row>
    <row r="3888" spans="13:18">
      <c r="M3888" s="19"/>
      <c r="N3888" s="19"/>
      <c r="O3888" s="19"/>
      <c r="P3888" s="19"/>
      <c r="Q3888" s="19"/>
      <c r="R3888" s="19"/>
    </row>
    <row r="3889" spans="13:18">
      <c r="M3889" s="19"/>
      <c r="N3889" s="19"/>
      <c r="O3889" s="19"/>
      <c r="P3889" s="19"/>
      <c r="Q3889" s="19"/>
      <c r="R3889" s="19"/>
    </row>
    <row r="3890" spans="13:18">
      <c r="M3890" s="19"/>
      <c r="N3890" s="19"/>
      <c r="O3890" s="19"/>
      <c r="P3890" s="19"/>
      <c r="Q3890" s="19"/>
      <c r="R3890" s="19"/>
    </row>
    <row r="3891" spans="13:18">
      <c r="M3891" s="19"/>
      <c r="N3891" s="19"/>
      <c r="O3891" s="19"/>
      <c r="P3891" s="19"/>
      <c r="Q3891" s="19"/>
      <c r="R3891" s="19"/>
    </row>
    <row r="3892" spans="13:18">
      <c r="M3892" s="19"/>
      <c r="N3892" s="19"/>
      <c r="O3892" s="19"/>
      <c r="P3892" s="19"/>
      <c r="Q3892" s="19"/>
      <c r="R3892" s="19"/>
    </row>
    <row r="3893" spans="13:18">
      <c r="M3893" s="19"/>
      <c r="N3893" s="19"/>
      <c r="O3893" s="19"/>
      <c r="P3893" s="19"/>
      <c r="Q3893" s="19"/>
      <c r="R3893" s="19"/>
    </row>
    <row r="3894" spans="13:18">
      <c r="M3894" s="19"/>
      <c r="N3894" s="19"/>
      <c r="O3894" s="19"/>
      <c r="P3894" s="19"/>
      <c r="Q3894" s="19"/>
      <c r="R3894" s="19"/>
    </row>
    <row r="3895" spans="13:18">
      <c r="M3895" s="19"/>
      <c r="N3895" s="19"/>
      <c r="O3895" s="19"/>
      <c r="P3895" s="19"/>
      <c r="Q3895" s="19"/>
      <c r="R3895" s="19"/>
    </row>
    <row r="3896" spans="13:18">
      <c r="M3896" s="19"/>
      <c r="N3896" s="19"/>
      <c r="O3896" s="19"/>
      <c r="P3896" s="19"/>
      <c r="Q3896" s="19"/>
      <c r="R3896" s="19"/>
    </row>
    <row r="3897" spans="13:18">
      <c r="M3897" s="19"/>
      <c r="N3897" s="19"/>
      <c r="O3897" s="19"/>
      <c r="P3897" s="19"/>
      <c r="Q3897" s="19"/>
      <c r="R3897" s="19"/>
    </row>
    <row r="3898" spans="13:18">
      <c r="M3898" s="19"/>
      <c r="N3898" s="19"/>
      <c r="O3898" s="19"/>
      <c r="P3898" s="19"/>
      <c r="Q3898" s="19"/>
      <c r="R3898" s="19"/>
    </row>
    <row r="3899" spans="13:18">
      <c r="M3899" s="19"/>
      <c r="N3899" s="19"/>
      <c r="O3899" s="19"/>
      <c r="P3899" s="19"/>
      <c r="Q3899" s="19"/>
      <c r="R3899" s="19"/>
    </row>
    <row r="3900" spans="13:18">
      <c r="M3900" s="19"/>
      <c r="N3900" s="19"/>
      <c r="O3900" s="19"/>
      <c r="P3900" s="19"/>
      <c r="Q3900" s="19"/>
      <c r="R3900" s="19"/>
    </row>
    <row r="3901" spans="13:18">
      <c r="M3901" s="19"/>
      <c r="N3901" s="19"/>
      <c r="O3901" s="19"/>
      <c r="P3901" s="19"/>
      <c r="Q3901" s="19"/>
      <c r="R3901" s="19"/>
    </row>
    <row r="3902" spans="13:18">
      <c r="M3902" s="19"/>
      <c r="N3902" s="19"/>
      <c r="O3902" s="19"/>
      <c r="P3902" s="19"/>
      <c r="Q3902" s="19"/>
      <c r="R3902" s="19"/>
    </row>
    <row r="3903" spans="13:18">
      <c r="M3903" s="19"/>
      <c r="N3903" s="19"/>
      <c r="O3903" s="19"/>
      <c r="P3903" s="19"/>
      <c r="Q3903" s="19"/>
      <c r="R3903" s="19"/>
    </row>
    <row r="3904" spans="13:18">
      <c r="M3904" s="19"/>
      <c r="N3904" s="19"/>
      <c r="O3904" s="19"/>
      <c r="P3904" s="19"/>
      <c r="Q3904" s="19"/>
      <c r="R3904" s="19"/>
    </row>
    <row r="3905" spans="13:18">
      <c r="M3905" s="19"/>
      <c r="N3905" s="19"/>
      <c r="O3905" s="19"/>
      <c r="P3905" s="19"/>
      <c r="Q3905" s="19"/>
      <c r="R3905" s="19"/>
    </row>
    <row r="3906" spans="13:18">
      <c r="M3906" s="19"/>
      <c r="N3906" s="19"/>
      <c r="O3906" s="19"/>
      <c r="P3906" s="19"/>
      <c r="Q3906" s="19"/>
      <c r="R3906" s="19"/>
    </row>
    <row r="3907" spans="13:18">
      <c r="M3907" s="19"/>
      <c r="N3907" s="19"/>
      <c r="O3907" s="19"/>
      <c r="P3907" s="19"/>
      <c r="Q3907" s="19"/>
      <c r="R3907" s="19"/>
    </row>
    <row r="3908" spans="13:18">
      <c r="M3908" s="19"/>
      <c r="N3908" s="19"/>
      <c r="O3908" s="19"/>
      <c r="P3908" s="19"/>
      <c r="Q3908" s="19"/>
      <c r="R3908" s="19"/>
    </row>
    <row r="3909" spans="13:18">
      <c r="M3909" s="19"/>
      <c r="N3909" s="19"/>
      <c r="O3909" s="19"/>
      <c r="P3909" s="19"/>
      <c r="Q3909" s="19"/>
      <c r="R3909" s="19"/>
    </row>
    <row r="3910" spans="13:18">
      <c r="M3910" s="19"/>
      <c r="N3910" s="19"/>
      <c r="O3910" s="19"/>
      <c r="P3910" s="19"/>
      <c r="Q3910" s="19"/>
      <c r="R3910" s="19"/>
    </row>
    <row r="3911" spans="13:18">
      <c r="M3911" s="19"/>
      <c r="N3911" s="19"/>
      <c r="O3911" s="19"/>
      <c r="P3911" s="19"/>
      <c r="Q3911" s="19"/>
      <c r="R3911" s="19"/>
    </row>
    <row r="3912" spans="13:18">
      <c r="M3912" s="19"/>
      <c r="N3912" s="19"/>
      <c r="O3912" s="19"/>
      <c r="P3912" s="19"/>
      <c r="Q3912" s="19"/>
      <c r="R3912" s="19"/>
    </row>
    <row r="3913" spans="13:18">
      <c r="M3913" s="19"/>
      <c r="N3913" s="19"/>
      <c r="O3913" s="19"/>
      <c r="P3913" s="19"/>
      <c r="Q3913" s="19"/>
      <c r="R3913" s="19"/>
    </row>
    <row r="3914" spans="13:18">
      <c r="M3914" s="19"/>
      <c r="N3914" s="19"/>
      <c r="O3914" s="19"/>
      <c r="P3914" s="19"/>
      <c r="Q3914" s="19"/>
      <c r="R3914" s="19"/>
    </row>
    <row r="3915" spans="13:18">
      <c r="M3915" s="19"/>
      <c r="N3915" s="19"/>
      <c r="O3915" s="19"/>
      <c r="P3915" s="19"/>
      <c r="Q3915" s="19"/>
      <c r="R3915" s="19"/>
    </row>
    <row r="3916" spans="13:18">
      <c r="M3916" s="19"/>
      <c r="N3916" s="19"/>
      <c r="O3916" s="19"/>
      <c r="P3916" s="19"/>
      <c r="Q3916" s="19"/>
      <c r="R3916" s="19"/>
    </row>
    <row r="3917" spans="13:18">
      <c r="M3917" s="19"/>
      <c r="N3917" s="19"/>
      <c r="O3917" s="19"/>
      <c r="P3917" s="19"/>
      <c r="Q3917" s="19"/>
      <c r="R3917" s="19"/>
    </row>
    <row r="3918" spans="13:18">
      <c r="M3918" s="19"/>
      <c r="N3918" s="19"/>
      <c r="O3918" s="19"/>
      <c r="P3918" s="19"/>
      <c r="Q3918" s="19"/>
      <c r="R3918" s="19"/>
    </row>
    <row r="3919" spans="13:18">
      <c r="M3919" s="19"/>
      <c r="N3919" s="19"/>
      <c r="O3919" s="19"/>
      <c r="P3919" s="19"/>
      <c r="Q3919" s="19"/>
      <c r="R3919" s="19"/>
    </row>
    <row r="3920" spans="13:18">
      <c r="M3920" s="19"/>
      <c r="N3920" s="19"/>
      <c r="O3920" s="19"/>
      <c r="P3920" s="19"/>
      <c r="Q3920" s="19"/>
      <c r="R3920" s="19"/>
    </row>
    <row r="3921" spans="13:18">
      <c r="M3921" s="19"/>
      <c r="N3921" s="19"/>
      <c r="O3921" s="19"/>
      <c r="P3921" s="19"/>
      <c r="Q3921" s="19"/>
      <c r="R3921" s="19"/>
    </row>
    <row r="3922" spans="13:18">
      <c r="M3922" s="19"/>
      <c r="N3922" s="19"/>
      <c r="O3922" s="19"/>
      <c r="P3922" s="19"/>
      <c r="Q3922" s="19"/>
      <c r="R3922" s="19"/>
    </row>
    <row r="3923" spans="13:18">
      <c r="M3923" s="19"/>
      <c r="N3923" s="19"/>
      <c r="O3923" s="19"/>
      <c r="P3923" s="19"/>
      <c r="Q3923" s="19"/>
      <c r="R3923" s="19"/>
    </row>
    <row r="3924" spans="13:18">
      <c r="M3924" s="19"/>
      <c r="N3924" s="19"/>
      <c r="O3924" s="19"/>
      <c r="P3924" s="19"/>
      <c r="Q3924" s="19"/>
      <c r="R3924" s="19"/>
    </row>
    <row r="3925" spans="13:18">
      <c r="M3925" s="19"/>
      <c r="N3925" s="19"/>
      <c r="O3925" s="19"/>
      <c r="P3925" s="19"/>
      <c r="Q3925" s="19"/>
      <c r="R3925" s="19"/>
    </row>
    <row r="3926" spans="13:18">
      <c r="M3926" s="19"/>
      <c r="N3926" s="19"/>
      <c r="O3926" s="19"/>
      <c r="P3926" s="19"/>
      <c r="Q3926" s="19"/>
      <c r="R3926" s="19"/>
    </row>
    <row r="3927" spans="13:18">
      <c r="M3927" s="19"/>
      <c r="N3927" s="19"/>
      <c r="O3927" s="19"/>
      <c r="P3927" s="19"/>
      <c r="Q3927" s="19"/>
      <c r="R3927" s="19"/>
    </row>
    <row r="3928" spans="13:18">
      <c r="M3928" s="19"/>
      <c r="N3928" s="19"/>
      <c r="O3928" s="19"/>
      <c r="P3928" s="19"/>
      <c r="Q3928" s="19"/>
      <c r="R3928" s="19"/>
    </row>
    <row r="3929" spans="13:18">
      <c r="M3929" s="19"/>
      <c r="N3929" s="19"/>
      <c r="O3929" s="19"/>
      <c r="P3929" s="19"/>
      <c r="Q3929" s="19"/>
      <c r="R3929" s="19"/>
    </row>
    <row r="3930" spans="13:18">
      <c r="M3930" s="19"/>
      <c r="N3930" s="19"/>
      <c r="O3930" s="19"/>
      <c r="P3930" s="19"/>
      <c r="Q3930" s="19"/>
      <c r="R3930" s="19"/>
    </row>
    <row r="3931" spans="13:18">
      <c r="M3931" s="19"/>
      <c r="N3931" s="19"/>
      <c r="O3931" s="19"/>
      <c r="P3931" s="19"/>
      <c r="Q3931" s="19"/>
      <c r="R3931" s="19"/>
    </row>
    <row r="3932" spans="13:18">
      <c r="M3932" s="19"/>
      <c r="N3932" s="19"/>
      <c r="O3932" s="19"/>
      <c r="P3932" s="19"/>
      <c r="Q3932" s="19"/>
      <c r="R3932" s="19"/>
    </row>
    <row r="3933" spans="13:18">
      <c r="M3933" s="19"/>
      <c r="N3933" s="19"/>
      <c r="O3933" s="19"/>
      <c r="P3933" s="19"/>
      <c r="Q3933" s="19"/>
      <c r="R3933" s="19"/>
    </row>
    <row r="3934" spans="13:18">
      <c r="M3934" s="19"/>
      <c r="N3934" s="19"/>
      <c r="O3934" s="19"/>
      <c r="P3934" s="19"/>
      <c r="Q3934" s="19"/>
      <c r="R3934" s="19"/>
    </row>
    <row r="3935" spans="13:18">
      <c r="M3935" s="19"/>
      <c r="N3935" s="19"/>
      <c r="O3935" s="19"/>
      <c r="P3935" s="19"/>
      <c r="Q3935" s="19"/>
      <c r="R3935" s="19"/>
    </row>
    <row r="3936" spans="13:18">
      <c r="M3936" s="19"/>
      <c r="N3936" s="19"/>
      <c r="O3936" s="19"/>
      <c r="P3936" s="19"/>
      <c r="Q3936" s="19"/>
      <c r="R3936" s="19"/>
    </row>
    <row r="3937" spans="13:18">
      <c r="M3937" s="19"/>
      <c r="N3937" s="19"/>
      <c r="O3937" s="19"/>
      <c r="P3937" s="19"/>
      <c r="Q3937" s="19"/>
      <c r="R3937" s="19"/>
    </row>
    <row r="3938" spans="13:18">
      <c r="M3938" s="19"/>
      <c r="N3938" s="19"/>
      <c r="O3938" s="19"/>
      <c r="P3938" s="19"/>
      <c r="Q3938" s="19"/>
      <c r="R3938" s="19"/>
    </row>
    <row r="3939" spans="13:18">
      <c r="M3939" s="19"/>
      <c r="N3939" s="19"/>
      <c r="O3939" s="19"/>
      <c r="P3939" s="19"/>
      <c r="Q3939" s="19"/>
      <c r="R3939" s="19"/>
    </row>
    <row r="3940" spans="13:18">
      <c r="M3940" s="19"/>
      <c r="N3940" s="19"/>
      <c r="O3940" s="19"/>
      <c r="P3940" s="19"/>
      <c r="Q3940" s="19"/>
      <c r="R3940" s="19"/>
    </row>
    <row r="3941" spans="13:18">
      <c r="M3941" s="19"/>
      <c r="N3941" s="19"/>
      <c r="O3941" s="19"/>
      <c r="P3941" s="19"/>
      <c r="Q3941" s="19"/>
      <c r="R3941" s="19"/>
    </row>
    <row r="3942" spans="13:18">
      <c r="M3942" s="19"/>
      <c r="N3942" s="19"/>
      <c r="O3942" s="19"/>
      <c r="P3942" s="19"/>
      <c r="Q3942" s="19"/>
      <c r="R3942" s="19"/>
    </row>
    <row r="3943" spans="13:18">
      <c r="M3943" s="19"/>
      <c r="N3943" s="19"/>
      <c r="O3943" s="19"/>
      <c r="P3943" s="19"/>
      <c r="Q3943" s="19"/>
      <c r="R3943" s="19"/>
    </row>
    <row r="3944" spans="13:18">
      <c r="M3944" s="19"/>
      <c r="N3944" s="19"/>
      <c r="O3944" s="19"/>
      <c r="P3944" s="19"/>
      <c r="Q3944" s="19"/>
      <c r="R3944" s="19"/>
    </row>
    <row r="3945" spans="13:18">
      <c r="M3945" s="19"/>
      <c r="N3945" s="19"/>
      <c r="O3945" s="19"/>
      <c r="P3945" s="19"/>
      <c r="Q3945" s="19"/>
      <c r="R3945" s="19"/>
    </row>
    <row r="3946" spans="13:18">
      <c r="M3946" s="19"/>
      <c r="N3946" s="19"/>
      <c r="O3946" s="19"/>
      <c r="P3946" s="19"/>
      <c r="Q3946" s="19"/>
      <c r="R3946" s="19"/>
    </row>
    <row r="3947" spans="13:18">
      <c r="M3947" s="19"/>
      <c r="N3947" s="19"/>
      <c r="O3947" s="19"/>
      <c r="P3947" s="19"/>
      <c r="Q3947" s="19"/>
      <c r="R3947" s="19"/>
    </row>
    <row r="3948" spans="13:18">
      <c r="M3948" s="19"/>
      <c r="N3948" s="19"/>
      <c r="O3948" s="19"/>
      <c r="P3948" s="19"/>
      <c r="Q3948" s="19"/>
      <c r="R3948" s="19"/>
    </row>
    <row r="3949" spans="13:18">
      <c r="M3949" s="19"/>
      <c r="N3949" s="19"/>
      <c r="O3949" s="19"/>
      <c r="P3949" s="19"/>
      <c r="Q3949" s="19"/>
      <c r="R3949" s="19"/>
    </row>
    <row r="3950" spans="13:18">
      <c r="M3950" s="19"/>
      <c r="N3950" s="19"/>
      <c r="O3950" s="19"/>
      <c r="P3950" s="19"/>
      <c r="Q3950" s="19"/>
      <c r="R3950" s="19"/>
    </row>
    <row r="3951" spans="13:18">
      <c r="M3951" s="19"/>
      <c r="N3951" s="19"/>
      <c r="O3951" s="19"/>
      <c r="P3951" s="19"/>
      <c r="Q3951" s="19"/>
      <c r="R3951" s="19"/>
    </row>
    <row r="3952" spans="13:18">
      <c r="M3952" s="19"/>
      <c r="N3952" s="19"/>
      <c r="O3952" s="19"/>
      <c r="P3952" s="19"/>
      <c r="Q3952" s="19"/>
      <c r="R3952" s="19"/>
    </row>
    <row r="3953" spans="13:18">
      <c r="M3953" s="19"/>
      <c r="N3953" s="19"/>
      <c r="O3953" s="19"/>
      <c r="P3953" s="19"/>
      <c r="Q3953" s="19"/>
      <c r="R3953" s="19"/>
    </row>
    <row r="3954" spans="13:18">
      <c r="M3954" s="19"/>
      <c r="N3954" s="19"/>
      <c r="O3954" s="19"/>
      <c r="P3954" s="19"/>
      <c r="Q3954" s="19"/>
      <c r="R3954" s="19"/>
    </row>
    <row r="3955" spans="13:18">
      <c r="M3955" s="19"/>
      <c r="N3955" s="19"/>
      <c r="O3955" s="19"/>
      <c r="P3955" s="19"/>
      <c r="Q3955" s="19"/>
      <c r="R3955" s="19"/>
    </row>
    <row r="3956" spans="13:18">
      <c r="M3956" s="19"/>
      <c r="N3956" s="19"/>
      <c r="O3956" s="19"/>
      <c r="P3956" s="19"/>
      <c r="Q3956" s="19"/>
      <c r="R3956" s="19"/>
    </row>
    <row r="3957" spans="13:18">
      <c r="M3957" s="19"/>
      <c r="N3957" s="19"/>
      <c r="O3957" s="19"/>
      <c r="P3957" s="19"/>
      <c r="Q3957" s="19"/>
      <c r="R3957" s="19"/>
    </row>
    <row r="3958" spans="13:18">
      <c r="M3958" s="19"/>
      <c r="N3958" s="19"/>
      <c r="O3958" s="19"/>
      <c r="P3958" s="19"/>
      <c r="Q3958" s="19"/>
      <c r="R3958" s="19"/>
    </row>
    <row r="3959" spans="13:18">
      <c r="M3959" s="19"/>
      <c r="N3959" s="19"/>
      <c r="O3959" s="19"/>
      <c r="P3959" s="19"/>
      <c r="Q3959" s="19"/>
      <c r="R3959" s="19"/>
    </row>
    <row r="3960" spans="13:18">
      <c r="M3960" s="19"/>
      <c r="N3960" s="19"/>
      <c r="O3960" s="19"/>
      <c r="P3960" s="19"/>
      <c r="Q3960" s="19"/>
      <c r="R3960" s="19"/>
    </row>
    <row r="3961" spans="13:18">
      <c r="M3961" s="19"/>
      <c r="N3961" s="19"/>
      <c r="O3961" s="19"/>
      <c r="P3961" s="19"/>
      <c r="Q3961" s="19"/>
      <c r="R3961" s="19"/>
    </row>
    <row r="3962" spans="13:18">
      <c r="M3962" s="19"/>
      <c r="N3962" s="19"/>
      <c r="O3962" s="19"/>
      <c r="P3962" s="19"/>
      <c r="Q3962" s="19"/>
      <c r="R3962" s="19"/>
    </row>
    <row r="3963" spans="13:18">
      <c r="M3963" s="19"/>
      <c r="N3963" s="19"/>
      <c r="O3963" s="19"/>
      <c r="P3963" s="19"/>
      <c r="Q3963" s="19"/>
      <c r="R3963" s="19"/>
    </row>
    <row r="3964" spans="13:18">
      <c r="M3964" s="19"/>
      <c r="N3964" s="19"/>
      <c r="O3964" s="19"/>
      <c r="P3964" s="19"/>
      <c r="Q3964" s="19"/>
      <c r="R3964" s="19"/>
    </row>
    <row r="3965" spans="13:18">
      <c r="M3965" s="19"/>
      <c r="N3965" s="19"/>
      <c r="O3965" s="19"/>
      <c r="P3965" s="19"/>
      <c r="Q3965" s="19"/>
      <c r="R3965" s="19"/>
    </row>
    <row r="3966" spans="13:18">
      <c r="M3966" s="19"/>
      <c r="N3966" s="19"/>
      <c r="O3966" s="19"/>
      <c r="P3966" s="19"/>
      <c r="Q3966" s="19"/>
      <c r="R3966" s="19"/>
    </row>
    <row r="3967" spans="13:18">
      <c r="M3967" s="19"/>
      <c r="N3967" s="19"/>
      <c r="O3967" s="19"/>
      <c r="P3967" s="19"/>
      <c r="Q3967" s="19"/>
      <c r="R3967" s="19"/>
    </row>
    <row r="3968" spans="13:18">
      <c r="M3968" s="19"/>
      <c r="N3968" s="19"/>
      <c r="O3968" s="19"/>
      <c r="P3968" s="19"/>
      <c r="Q3968" s="19"/>
      <c r="R3968" s="19"/>
    </row>
    <row r="3969" spans="13:18">
      <c r="M3969" s="19"/>
      <c r="N3969" s="19"/>
      <c r="O3969" s="19"/>
      <c r="P3969" s="19"/>
      <c r="Q3969" s="19"/>
      <c r="R3969" s="19"/>
    </row>
    <row r="3970" spans="13:18">
      <c r="M3970" s="19"/>
      <c r="N3970" s="19"/>
      <c r="O3970" s="19"/>
      <c r="P3970" s="19"/>
      <c r="Q3970" s="19"/>
      <c r="R3970" s="19"/>
    </row>
    <row r="3971" spans="13:18">
      <c r="M3971" s="19"/>
      <c r="N3971" s="19"/>
      <c r="O3971" s="19"/>
      <c r="P3971" s="19"/>
      <c r="Q3971" s="19"/>
      <c r="R3971" s="19"/>
    </row>
    <row r="3972" spans="13:18">
      <c r="M3972" s="19"/>
      <c r="N3972" s="19"/>
      <c r="O3972" s="19"/>
      <c r="P3972" s="19"/>
      <c r="Q3972" s="19"/>
      <c r="R3972" s="19"/>
    </row>
    <row r="3973" spans="13:18">
      <c r="M3973" s="19"/>
      <c r="N3973" s="19"/>
      <c r="O3973" s="19"/>
      <c r="P3973" s="19"/>
      <c r="Q3973" s="19"/>
      <c r="R3973" s="19"/>
    </row>
    <row r="3974" spans="13:18">
      <c r="M3974" s="19"/>
      <c r="N3974" s="19"/>
      <c r="O3974" s="19"/>
      <c r="P3974" s="19"/>
      <c r="Q3974" s="19"/>
      <c r="R3974" s="19"/>
    </row>
    <row r="3975" spans="13:18">
      <c r="M3975" s="19"/>
      <c r="N3975" s="19"/>
      <c r="O3975" s="19"/>
      <c r="P3975" s="19"/>
      <c r="Q3975" s="19"/>
      <c r="R3975" s="19"/>
    </row>
    <row r="3976" spans="13:18">
      <c r="M3976" s="19"/>
      <c r="N3976" s="19"/>
      <c r="O3976" s="19"/>
      <c r="P3976" s="19"/>
      <c r="Q3976" s="19"/>
      <c r="R3976" s="19"/>
    </row>
    <row r="3977" spans="13:18">
      <c r="M3977" s="19"/>
      <c r="N3977" s="19"/>
      <c r="O3977" s="19"/>
      <c r="P3977" s="19"/>
      <c r="Q3977" s="19"/>
      <c r="R3977" s="19"/>
    </row>
    <row r="3978" spans="13:18">
      <c r="M3978" s="19"/>
      <c r="N3978" s="19"/>
      <c r="O3978" s="19"/>
      <c r="P3978" s="19"/>
      <c r="Q3978" s="19"/>
      <c r="R3978" s="19"/>
    </row>
    <row r="3979" spans="13:18">
      <c r="M3979" s="19"/>
      <c r="N3979" s="19"/>
      <c r="O3979" s="19"/>
      <c r="P3979" s="19"/>
      <c r="Q3979" s="19"/>
      <c r="R3979" s="19"/>
    </row>
    <row r="3980" spans="13:18">
      <c r="M3980" s="19"/>
      <c r="N3980" s="19"/>
      <c r="O3980" s="19"/>
      <c r="P3980" s="19"/>
      <c r="Q3980" s="19"/>
      <c r="R3980" s="19"/>
    </row>
    <row r="3981" spans="13:18">
      <c r="M3981" s="19"/>
      <c r="N3981" s="19"/>
      <c r="O3981" s="19"/>
      <c r="P3981" s="19"/>
      <c r="Q3981" s="19"/>
      <c r="R3981" s="19"/>
    </row>
    <row r="3982" spans="13:18">
      <c r="M3982" s="19"/>
      <c r="N3982" s="19"/>
      <c r="O3982" s="19"/>
      <c r="P3982" s="19"/>
      <c r="Q3982" s="19"/>
      <c r="R3982" s="19"/>
    </row>
    <row r="3983" spans="13:18">
      <c r="M3983" s="19"/>
      <c r="N3983" s="19"/>
      <c r="O3983" s="19"/>
      <c r="P3983" s="19"/>
      <c r="Q3983" s="19"/>
      <c r="R3983" s="19"/>
    </row>
    <row r="3984" spans="13:18">
      <c r="M3984" s="19"/>
      <c r="N3984" s="19"/>
      <c r="O3984" s="19"/>
      <c r="P3984" s="19"/>
      <c r="Q3984" s="19"/>
      <c r="R3984" s="19"/>
    </row>
    <row r="3985" spans="13:18">
      <c r="M3985" s="19"/>
      <c r="N3985" s="19"/>
      <c r="O3985" s="19"/>
      <c r="P3985" s="19"/>
      <c r="Q3985" s="19"/>
      <c r="R3985" s="19"/>
    </row>
    <row r="3986" spans="13:18">
      <c r="M3986" s="19"/>
      <c r="N3986" s="19"/>
      <c r="O3986" s="19"/>
      <c r="P3986" s="19"/>
      <c r="Q3986" s="19"/>
      <c r="R3986" s="19"/>
    </row>
    <row r="3987" spans="13:18">
      <c r="M3987" s="19"/>
      <c r="N3987" s="19"/>
      <c r="O3987" s="19"/>
      <c r="P3987" s="19"/>
      <c r="Q3987" s="19"/>
      <c r="R3987" s="19"/>
    </row>
    <row r="3988" spans="13:18">
      <c r="M3988" s="19"/>
      <c r="N3988" s="19"/>
      <c r="O3988" s="19"/>
      <c r="P3988" s="19"/>
      <c r="Q3988" s="19"/>
      <c r="R3988" s="19"/>
    </row>
    <row r="3989" spans="13:18">
      <c r="M3989" s="19"/>
      <c r="N3989" s="19"/>
      <c r="O3989" s="19"/>
      <c r="P3989" s="19"/>
      <c r="Q3989" s="19"/>
      <c r="R3989" s="19"/>
    </row>
    <row r="3990" spans="13:18">
      <c r="M3990" s="19"/>
      <c r="N3990" s="19"/>
      <c r="O3990" s="19"/>
      <c r="P3990" s="19"/>
      <c r="Q3990" s="19"/>
      <c r="R3990" s="19"/>
    </row>
    <row r="3991" spans="13:18">
      <c r="M3991" s="19"/>
      <c r="N3991" s="19"/>
      <c r="O3991" s="19"/>
      <c r="P3991" s="19"/>
      <c r="Q3991" s="19"/>
      <c r="R3991" s="19"/>
    </row>
    <row r="3992" spans="13:18">
      <c r="M3992" s="19"/>
      <c r="N3992" s="19"/>
      <c r="O3992" s="19"/>
      <c r="P3992" s="19"/>
      <c r="Q3992" s="19"/>
      <c r="R3992" s="19"/>
    </row>
    <row r="3993" spans="13:18">
      <c r="M3993" s="19"/>
      <c r="N3993" s="19"/>
      <c r="O3993" s="19"/>
      <c r="P3993" s="19"/>
      <c r="Q3993" s="19"/>
      <c r="R3993" s="19"/>
    </row>
    <row r="3994" spans="13:18">
      <c r="M3994" s="19"/>
      <c r="N3994" s="19"/>
      <c r="O3994" s="19"/>
      <c r="P3994" s="19"/>
      <c r="Q3994" s="19"/>
      <c r="R3994" s="19"/>
    </row>
    <row r="3995" spans="13:18">
      <c r="M3995" s="19"/>
      <c r="N3995" s="19"/>
      <c r="O3995" s="19"/>
      <c r="P3995" s="19"/>
      <c r="Q3995" s="19"/>
      <c r="R3995" s="19"/>
    </row>
    <row r="3996" spans="13:18">
      <c r="M3996" s="19"/>
      <c r="N3996" s="19"/>
      <c r="O3996" s="19"/>
      <c r="P3996" s="19"/>
      <c r="Q3996" s="19"/>
      <c r="R3996" s="19"/>
    </row>
    <row r="3997" spans="13:18">
      <c r="M3997" s="19"/>
      <c r="N3997" s="19"/>
      <c r="O3997" s="19"/>
      <c r="P3997" s="19"/>
      <c r="Q3997" s="19"/>
      <c r="R3997" s="19"/>
    </row>
    <row r="3998" spans="13:18">
      <c r="M3998" s="19"/>
      <c r="N3998" s="19"/>
      <c r="O3998" s="19"/>
      <c r="P3998" s="19"/>
      <c r="Q3998" s="19"/>
      <c r="R3998" s="19"/>
    </row>
    <row r="3999" spans="13:18">
      <c r="M3999" s="19"/>
      <c r="N3999" s="19"/>
      <c r="O3999" s="19"/>
      <c r="P3999" s="19"/>
      <c r="Q3999" s="19"/>
      <c r="R3999" s="19"/>
    </row>
    <row r="4000" spans="13:18">
      <c r="M4000" s="19"/>
      <c r="N4000" s="19"/>
      <c r="O4000" s="19"/>
      <c r="P4000" s="19"/>
      <c r="Q4000" s="19"/>
      <c r="R4000" s="19"/>
    </row>
    <row r="4001" spans="13:18">
      <c r="M4001" s="19"/>
      <c r="N4001" s="19"/>
      <c r="O4001" s="19"/>
      <c r="P4001" s="19"/>
      <c r="Q4001" s="19"/>
      <c r="R4001" s="19"/>
    </row>
    <row r="4002" spans="13:18">
      <c r="M4002" s="19"/>
      <c r="N4002" s="19"/>
      <c r="O4002" s="19"/>
      <c r="P4002" s="19"/>
      <c r="Q4002" s="19"/>
      <c r="R4002" s="19"/>
    </row>
    <row r="4003" spans="13:18">
      <c r="M4003" s="19"/>
      <c r="N4003" s="19"/>
      <c r="O4003" s="19"/>
      <c r="P4003" s="19"/>
      <c r="Q4003" s="19"/>
      <c r="R4003" s="19"/>
    </row>
    <row r="4004" spans="13:18">
      <c r="M4004" s="19"/>
      <c r="N4004" s="19"/>
      <c r="O4004" s="19"/>
      <c r="P4004" s="19"/>
      <c r="Q4004" s="19"/>
      <c r="R4004" s="19"/>
    </row>
    <row r="4005" spans="13:18">
      <c r="M4005" s="19"/>
      <c r="N4005" s="19"/>
      <c r="O4005" s="19"/>
      <c r="P4005" s="19"/>
      <c r="Q4005" s="19"/>
      <c r="R4005" s="19"/>
    </row>
    <row r="4006" spans="13:18">
      <c r="M4006" s="19"/>
      <c r="N4006" s="19"/>
      <c r="O4006" s="19"/>
      <c r="P4006" s="19"/>
      <c r="Q4006" s="19"/>
      <c r="R4006" s="19"/>
    </row>
    <row r="4007" spans="13:18">
      <c r="M4007" s="19"/>
      <c r="N4007" s="19"/>
      <c r="O4007" s="19"/>
      <c r="P4007" s="19"/>
      <c r="Q4007" s="19"/>
      <c r="R4007" s="19"/>
    </row>
    <row r="4008" spans="13:18">
      <c r="M4008" s="19"/>
      <c r="N4008" s="19"/>
      <c r="O4008" s="19"/>
      <c r="P4008" s="19"/>
      <c r="Q4008" s="19"/>
      <c r="R4008" s="19"/>
    </row>
    <row r="4009" spans="13:18">
      <c r="M4009" s="19"/>
      <c r="N4009" s="19"/>
      <c r="O4009" s="19"/>
      <c r="P4009" s="19"/>
      <c r="Q4009" s="19"/>
      <c r="R4009" s="19"/>
    </row>
    <row r="4010" spans="13:18">
      <c r="M4010" s="19"/>
      <c r="N4010" s="19"/>
      <c r="O4010" s="19"/>
      <c r="P4010" s="19"/>
      <c r="Q4010" s="19"/>
      <c r="R4010" s="19"/>
    </row>
    <row r="4011" spans="13:18">
      <c r="M4011" s="19"/>
      <c r="N4011" s="19"/>
      <c r="O4011" s="19"/>
      <c r="P4011" s="19"/>
      <c r="Q4011" s="19"/>
      <c r="R4011" s="19"/>
    </row>
    <row r="4012" spans="13:18">
      <c r="M4012" s="19"/>
      <c r="N4012" s="19"/>
      <c r="O4012" s="19"/>
      <c r="P4012" s="19"/>
      <c r="Q4012" s="19"/>
      <c r="R4012" s="19"/>
    </row>
    <row r="4013" spans="13:18">
      <c r="M4013" s="19"/>
      <c r="N4013" s="19"/>
      <c r="O4013" s="19"/>
      <c r="P4013" s="19"/>
      <c r="Q4013" s="19"/>
      <c r="R4013" s="19"/>
    </row>
    <row r="4014" spans="13:18">
      <c r="M4014" s="19"/>
      <c r="N4014" s="19"/>
      <c r="O4014" s="19"/>
      <c r="P4014" s="19"/>
      <c r="Q4014" s="19"/>
      <c r="R4014" s="19"/>
    </row>
    <row r="4015" spans="13:18">
      <c r="M4015" s="19"/>
      <c r="N4015" s="19"/>
      <c r="O4015" s="19"/>
      <c r="P4015" s="19"/>
      <c r="Q4015" s="19"/>
      <c r="R4015" s="19"/>
    </row>
    <row r="4016" spans="13:18">
      <c r="M4016" s="19"/>
      <c r="N4016" s="19"/>
      <c r="O4016" s="19"/>
      <c r="P4016" s="19"/>
      <c r="Q4016" s="19"/>
      <c r="R4016" s="19"/>
    </row>
    <row r="4017" spans="13:18">
      <c r="M4017" s="19"/>
      <c r="N4017" s="19"/>
      <c r="O4017" s="19"/>
      <c r="P4017" s="19"/>
      <c r="Q4017" s="19"/>
      <c r="R4017" s="19"/>
    </row>
    <row r="4018" spans="13:18">
      <c r="M4018" s="19"/>
      <c r="N4018" s="19"/>
      <c r="O4018" s="19"/>
      <c r="P4018" s="19"/>
      <c r="Q4018" s="19"/>
      <c r="R4018" s="19"/>
    </row>
    <row r="4019" spans="13:18">
      <c r="M4019" s="19"/>
      <c r="N4019" s="19"/>
      <c r="O4019" s="19"/>
      <c r="P4019" s="19"/>
      <c r="Q4019" s="19"/>
      <c r="R4019" s="19"/>
    </row>
    <row r="4020" spans="13:18">
      <c r="M4020" s="19"/>
      <c r="N4020" s="19"/>
      <c r="O4020" s="19"/>
      <c r="P4020" s="19"/>
      <c r="Q4020" s="19"/>
      <c r="R4020" s="19"/>
    </row>
    <row r="4021" spans="13:18">
      <c r="M4021" s="19"/>
      <c r="N4021" s="19"/>
      <c r="O4021" s="19"/>
      <c r="P4021" s="19"/>
      <c r="Q4021" s="19"/>
      <c r="R4021" s="19"/>
    </row>
    <row r="4022" spans="13:18">
      <c r="M4022" s="19"/>
      <c r="N4022" s="19"/>
      <c r="O4022" s="19"/>
      <c r="P4022" s="19"/>
      <c r="Q4022" s="19"/>
      <c r="R4022" s="19"/>
    </row>
    <row r="4023" spans="13:18">
      <c r="M4023" s="19"/>
      <c r="N4023" s="19"/>
      <c r="O4023" s="19"/>
      <c r="P4023" s="19"/>
      <c r="Q4023" s="19"/>
      <c r="R4023" s="19"/>
    </row>
    <row r="4024" spans="13:18">
      <c r="M4024" s="19"/>
      <c r="N4024" s="19"/>
      <c r="O4024" s="19"/>
      <c r="P4024" s="19"/>
      <c r="Q4024" s="19"/>
      <c r="R4024" s="19"/>
    </row>
    <row r="4025" spans="13:18">
      <c r="M4025" s="19"/>
      <c r="N4025" s="19"/>
      <c r="O4025" s="19"/>
      <c r="P4025" s="19"/>
      <c r="Q4025" s="19"/>
      <c r="R4025" s="19"/>
    </row>
    <row r="4026" spans="13:18">
      <c r="M4026" s="19"/>
      <c r="N4026" s="19"/>
      <c r="O4026" s="19"/>
      <c r="P4026" s="19"/>
      <c r="Q4026" s="19"/>
      <c r="R4026" s="19"/>
    </row>
    <row r="4027" spans="13:18">
      <c r="M4027" s="19"/>
      <c r="N4027" s="19"/>
      <c r="O4027" s="19"/>
      <c r="P4027" s="19"/>
      <c r="Q4027" s="19"/>
      <c r="R4027" s="19"/>
    </row>
    <row r="4028" spans="13:18">
      <c r="M4028" s="19"/>
      <c r="N4028" s="19"/>
      <c r="O4028" s="19"/>
      <c r="P4028" s="19"/>
      <c r="Q4028" s="19"/>
      <c r="R4028" s="19"/>
    </row>
    <row r="4029" spans="13:18">
      <c r="M4029" s="19"/>
      <c r="N4029" s="19"/>
      <c r="O4029" s="19"/>
      <c r="P4029" s="19"/>
      <c r="Q4029" s="19"/>
      <c r="R4029" s="19"/>
    </row>
    <row r="4030" spans="13:18">
      <c r="M4030" s="19"/>
      <c r="N4030" s="19"/>
      <c r="O4030" s="19"/>
      <c r="P4030" s="19"/>
      <c r="Q4030" s="19"/>
      <c r="R4030" s="19"/>
    </row>
    <row r="4031" spans="13:18">
      <c r="M4031" s="19"/>
      <c r="N4031" s="19"/>
      <c r="O4031" s="19"/>
      <c r="P4031" s="19"/>
      <c r="Q4031" s="19"/>
      <c r="R4031" s="19"/>
    </row>
    <row r="4032" spans="13:18">
      <c r="M4032" s="19"/>
      <c r="N4032" s="19"/>
      <c r="O4032" s="19"/>
      <c r="P4032" s="19"/>
      <c r="Q4032" s="19"/>
      <c r="R4032" s="19"/>
    </row>
    <row r="4033" spans="13:18">
      <c r="M4033" s="19"/>
      <c r="N4033" s="19"/>
      <c r="O4033" s="19"/>
      <c r="P4033" s="19"/>
      <c r="Q4033" s="19"/>
      <c r="R4033" s="19"/>
    </row>
    <row r="4034" spans="13:18">
      <c r="M4034" s="19"/>
      <c r="N4034" s="19"/>
      <c r="O4034" s="19"/>
      <c r="P4034" s="19"/>
      <c r="Q4034" s="19"/>
      <c r="R4034" s="19"/>
    </row>
    <row r="4035" spans="13:18">
      <c r="M4035" s="19"/>
      <c r="N4035" s="19"/>
      <c r="O4035" s="19"/>
      <c r="P4035" s="19"/>
      <c r="Q4035" s="19"/>
      <c r="R4035" s="19"/>
    </row>
    <row r="4036" spans="13:18">
      <c r="M4036" s="19"/>
      <c r="N4036" s="19"/>
      <c r="O4036" s="19"/>
      <c r="P4036" s="19"/>
      <c r="Q4036" s="19"/>
      <c r="R4036" s="19"/>
    </row>
    <row r="4037" spans="13:18">
      <c r="M4037" s="19"/>
      <c r="N4037" s="19"/>
      <c r="O4037" s="19"/>
      <c r="P4037" s="19"/>
      <c r="Q4037" s="19"/>
      <c r="R4037" s="19"/>
    </row>
    <row r="4038" spans="13:18">
      <c r="M4038" s="19"/>
      <c r="N4038" s="19"/>
      <c r="O4038" s="19"/>
      <c r="P4038" s="19"/>
      <c r="Q4038" s="19"/>
      <c r="R4038" s="19"/>
    </row>
    <row r="4039" spans="13:18">
      <c r="M4039" s="19"/>
      <c r="N4039" s="19"/>
      <c r="O4039" s="19"/>
      <c r="P4039" s="19"/>
      <c r="Q4039" s="19"/>
      <c r="R4039" s="19"/>
    </row>
    <row r="4040" spans="13:18">
      <c r="M4040" s="19"/>
      <c r="N4040" s="19"/>
      <c r="O4040" s="19"/>
      <c r="P4040" s="19"/>
      <c r="Q4040" s="19"/>
      <c r="R4040" s="19"/>
    </row>
    <row r="4041" spans="13:18">
      <c r="M4041" s="19"/>
      <c r="N4041" s="19"/>
      <c r="O4041" s="19"/>
      <c r="P4041" s="19"/>
      <c r="Q4041" s="19"/>
      <c r="R4041" s="19"/>
    </row>
    <row r="4042" spans="13:18">
      <c r="M4042" s="19"/>
      <c r="N4042" s="19"/>
      <c r="O4042" s="19"/>
      <c r="P4042" s="19"/>
      <c r="Q4042" s="19"/>
      <c r="R4042" s="19"/>
    </row>
    <row r="4043" spans="13:18">
      <c r="M4043" s="19"/>
      <c r="N4043" s="19"/>
      <c r="O4043" s="19"/>
      <c r="P4043" s="19"/>
      <c r="Q4043" s="19"/>
      <c r="R4043" s="19"/>
    </row>
    <row r="4044" spans="13:18">
      <c r="M4044" s="19"/>
      <c r="N4044" s="19"/>
      <c r="O4044" s="19"/>
      <c r="P4044" s="19"/>
      <c r="Q4044" s="19"/>
      <c r="R4044" s="19"/>
    </row>
    <row r="4045" spans="13:18">
      <c r="M4045" s="19"/>
      <c r="N4045" s="19"/>
      <c r="O4045" s="19"/>
      <c r="P4045" s="19"/>
      <c r="Q4045" s="19"/>
      <c r="R4045" s="19"/>
    </row>
    <row r="4046" spans="13:18">
      <c r="M4046" s="19"/>
      <c r="N4046" s="19"/>
      <c r="O4046" s="19"/>
      <c r="P4046" s="19"/>
      <c r="Q4046" s="19"/>
      <c r="R4046" s="19"/>
    </row>
    <row r="4047" spans="13:18">
      <c r="M4047" s="19"/>
      <c r="N4047" s="19"/>
      <c r="O4047" s="19"/>
      <c r="P4047" s="19"/>
      <c r="Q4047" s="19"/>
      <c r="R4047" s="19"/>
    </row>
    <row r="4048" spans="13:18">
      <c r="M4048" s="19"/>
      <c r="N4048" s="19"/>
      <c r="O4048" s="19"/>
      <c r="P4048" s="19"/>
      <c r="Q4048" s="19"/>
      <c r="R4048" s="19"/>
    </row>
    <row r="4049" spans="13:18">
      <c r="M4049" s="19"/>
      <c r="N4049" s="19"/>
      <c r="O4049" s="19"/>
      <c r="P4049" s="19"/>
      <c r="Q4049" s="19"/>
      <c r="R4049" s="19"/>
    </row>
    <row r="4050" spans="13:18">
      <c r="M4050" s="19"/>
      <c r="N4050" s="19"/>
      <c r="O4050" s="19"/>
      <c r="P4050" s="19"/>
      <c r="Q4050" s="19"/>
      <c r="R4050" s="19"/>
    </row>
    <row r="4051" spans="13:18">
      <c r="M4051" s="19"/>
      <c r="N4051" s="19"/>
      <c r="O4051" s="19"/>
      <c r="P4051" s="19"/>
      <c r="Q4051" s="19"/>
      <c r="R4051" s="19"/>
    </row>
    <row r="4052" spans="13:18">
      <c r="M4052" s="19"/>
      <c r="N4052" s="19"/>
      <c r="O4052" s="19"/>
      <c r="P4052" s="19"/>
      <c r="Q4052" s="19"/>
      <c r="R4052" s="19"/>
    </row>
    <row r="4053" spans="13:18">
      <c r="M4053" s="19"/>
      <c r="N4053" s="19"/>
      <c r="O4053" s="19"/>
      <c r="P4053" s="19"/>
      <c r="Q4053" s="19"/>
      <c r="R4053" s="19"/>
    </row>
    <row r="4054" spans="13:18">
      <c r="M4054" s="19"/>
      <c r="N4054" s="19"/>
      <c r="O4054" s="19"/>
      <c r="P4054" s="19"/>
      <c r="Q4054" s="19"/>
      <c r="R4054" s="19"/>
    </row>
    <row r="4055" spans="13:18">
      <c r="M4055" s="19"/>
      <c r="N4055" s="19"/>
      <c r="O4055" s="19"/>
      <c r="P4055" s="19"/>
      <c r="Q4055" s="19"/>
      <c r="R4055" s="19"/>
    </row>
    <row r="4056" spans="13:18">
      <c r="M4056" s="19"/>
      <c r="N4056" s="19"/>
      <c r="O4056" s="19"/>
      <c r="P4056" s="19"/>
      <c r="Q4056" s="19"/>
      <c r="R4056" s="19"/>
    </row>
    <row r="4057" spans="13:18">
      <c r="M4057" s="19"/>
      <c r="N4057" s="19"/>
      <c r="O4057" s="19"/>
      <c r="P4057" s="19"/>
      <c r="Q4057" s="19"/>
      <c r="R4057" s="19"/>
    </row>
    <row r="4058" spans="13:18">
      <c r="M4058" s="19"/>
      <c r="N4058" s="19"/>
      <c r="O4058" s="19"/>
      <c r="P4058" s="19"/>
      <c r="Q4058" s="19"/>
      <c r="R4058" s="19"/>
    </row>
    <row r="4059" spans="13:18">
      <c r="M4059" s="19"/>
      <c r="N4059" s="19"/>
      <c r="O4059" s="19"/>
      <c r="P4059" s="19"/>
      <c r="Q4059" s="19"/>
      <c r="R4059" s="19"/>
    </row>
    <row r="4060" spans="13:18">
      <c r="M4060" s="19"/>
      <c r="N4060" s="19"/>
      <c r="O4060" s="19"/>
      <c r="P4060" s="19"/>
      <c r="Q4060" s="19"/>
      <c r="R4060" s="19"/>
    </row>
    <row r="4061" spans="13:18">
      <c r="M4061" s="19"/>
      <c r="N4061" s="19"/>
      <c r="O4061" s="19"/>
      <c r="P4061" s="19"/>
      <c r="Q4061" s="19"/>
      <c r="R4061" s="19"/>
    </row>
    <row r="4062" spans="13:18">
      <c r="M4062" s="19"/>
      <c r="N4062" s="19"/>
      <c r="O4062" s="19"/>
      <c r="P4062" s="19"/>
      <c r="Q4062" s="19"/>
      <c r="R4062" s="19"/>
    </row>
    <row r="4063" spans="13:18">
      <c r="M4063" s="19"/>
      <c r="N4063" s="19"/>
      <c r="O4063" s="19"/>
      <c r="P4063" s="19"/>
      <c r="Q4063" s="19"/>
      <c r="R4063" s="19"/>
    </row>
    <row r="4064" spans="13:18">
      <c r="M4064" s="19"/>
      <c r="N4064" s="19"/>
      <c r="O4064" s="19"/>
      <c r="P4064" s="19"/>
      <c r="Q4064" s="19"/>
      <c r="R4064" s="19"/>
    </row>
    <row r="4065" spans="13:18">
      <c r="M4065" s="19"/>
      <c r="N4065" s="19"/>
      <c r="O4065" s="19"/>
      <c r="P4065" s="19"/>
      <c r="Q4065" s="19"/>
      <c r="R4065" s="19"/>
    </row>
    <row r="4066" spans="13:18">
      <c r="M4066" s="19"/>
      <c r="N4066" s="19"/>
      <c r="O4066" s="19"/>
      <c r="P4066" s="19"/>
      <c r="Q4066" s="19"/>
      <c r="R4066" s="19"/>
    </row>
    <row r="4067" spans="13:18">
      <c r="M4067" s="19"/>
      <c r="N4067" s="19"/>
      <c r="O4067" s="19"/>
      <c r="P4067" s="19"/>
      <c r="Q4067" s="19"/>
      <c r="R4067" s="19"/>
    </row>
    <row r="4068" spans="13:18">
      <c r="M4068" s="19"/>
      <c r="N4068" s="19"/>
      <c r="O4068" s="19"/>
      <c r="P4068" s="19"/>
      <c r="Q4068" s="19"/>
      <c r="R4068" s="19"/>
    </row>
    <row r="4069" spans="13:18">
      <c r="M4069" s="19"/>
      <c r="N4069" s="19"/>
      <c r="O4069" s="19"/>
      <c r="P4069" s="19"/>
      <c r="Q4069" s="19"/>
      <c r="R4069" s="19"/>
    </row>
    <row r="4070" spans="13:18">
      <c r="M4070" s="19"/>
      <c r="N4070" s="19"/>
      <c r="O4070" s="19"/>
      <c r="P4070" s="19"/>
      <c r="Q4070" s="19"/>
      <c r="R4070" s="19"/>
    </row>
    <row r="4071" spans="13:18">
      <c r="M4071" s="19"/>
      <c r="N4071" s="19"/>
      <c r="O4071" s="19"/>
      <c r="P4071" s="19"/>
      <c r="Q4071" s="19"/>
      <c r="R4071" s="19"/>
    </row>
    <row r="4072" spans="13:18">
      <c r="M4072" s="19"/>
      <c r="N4072" s="19"/>
      <c r="O4072" s="19"/>
      <c r="P4072" s="19"/>
      <c r="Q4072" s="19"/>
      <c r="R4072" s="19"/>
    </row>
    <row r="4073" spans="13:18">
      <c r="M4073" s="19"/>
      <c r="N4073" s="19"/>
      <c r="O4073" s="19"/>
      <c r="P4073" s="19"/>
      <c r="Q4073" s="19"/>
      <c r="R4073" s="19"/>
    </row>
    <row r="4074" spans="13:18">
      <c r="M4074" s="19"/>
      <c r="N4074" s="19"/>
      <c r="O4074" s="19"/>
      <c r="P4074" s="19"/>
      <c r="Q4074" s="19"/>
      <c r="R4074" s="19"/>
    </row>
    <row r="4075" spans="13:18">
      <c r="M4075" s="19"/>
      <c r="N4075" s="19"/>
      <c r="O4075" s="19"/>
      <c r="P4075" s="19"/>
      <c r="Q4075" s="19"/>
      <c r="R4075" s="19"/>
    </row>
    <row r="4076" spans="13:18">
      <c r="M4076" s="19"/>
      <c r="N4076" s="19"/>
      <c r="O4076" s="19"/>
      <c r="P4076" s="19"/>
      <c r="Q4076" s="19"/>
      <c r="R4076" s="19"/>
    </row>
    <row r="4077" spans="13:18">
      <c r="M4077" s="19"/>
      <c r="N4077" s="19"/>
      <c r="O4077" s="19"/>
      <c r="P4077" s="19"/>
      <c r="Q4077" s="19"/>
      <c r="R4077" s="19"/>
    </row>
    <row r="4078" spans="13:18">
      <c r="M4078" s="19"/>
      <c r="N4078" s="19"/>
      <c r="O4078" s="19"/>
      <c r="P4078" s="19"/>
      <c r="Q4078" s="19"/>
      <c r="R4078" s="19"/>
    </row>
    <row r="4079" spans="13:18">
      <c r="M4079" s="19"/>
      <c r="N4079" s="19"/>
      <c r="O4079" s="19"/>
      <c r="P4079" s="19"/>
      <c r="Q4079" s="19"/>
      <c r="R4079" s="19"/>
    </row>
    <row r="4080" spans="13:18">
      <c r="M4080" s="19"/>
      <c r="N4080" s="19"/>
      <c r="O4080" s="19"/>
      <c r="P4080" s="19"/>
      <c r="Q4080" s="19"/>
      <c r="R4080" s="19"/>
    </row>
    <row r="4081" spans="13:18">
      <c r="M4081" s="19"/>
      <c r="N4081" s="19"/>
      <c r="O4081" s="19"/>
      <c r="P4081" s="19"/>
      <c r="Q4081" s="19"/>
      <c r="R4081" s="19"/>
    </row>
    <row r="4082" spans="13:18">
      <c r="M4082" s="19"/>
      <c r="N4082" s="19"/>
      <c r="O4082" s="19"/>
      <c r="P4082" s="19"/>
      <c r="Q4082" s="19"/>
      <c r="R4082" s="19"/>
    </row>
    <row r="4083" spans="13:18">
      <c r="M4083" s="19"/>
      <c r="N4083" s="19"/>
      <c r="O4083" s="19"/>
      <c r="P4083" s="19"/>
      <c r="Q4083" s="19"/>
      <c r="R4083" s="19"/>
    </row>
    <row r="4084" spans="13:18">
      <c r="M4084" s="19"/>
      <c r="N4084" s="19"/>
      <c r="O4084" s="19"/>
      <c r="P4084" s="19"/>
      <c r="Q4084" s="19"/>
      <c r="R4084" s="19"/>
    </row>
    <row r="4085" spans="13:18">
      <c r="M4085" s="19"/>
      <c r="N4085" s="19"/>
      <c r="O4085" s="19"/>
      <c r="P4085" s="19"/>
      <c r="Q4085" s="19"/>
      <c r="R4085" s="19"/>
    </row>
    <row r="4086" spans="13:18">
      <c r="M4086" s="19"/>
      <c r="N4086" s="19"/>
      <c r="O4086" s="19"/>
      <c r="P4086" s="19"/>
      <c r="Q4086" s="19"/>
      <c r="R4086" s="19"/>
    </row>
    <row r="4087" spans="13:18">
      <c r="M4087" s="19"/>
      <c r="N4087" s="19"/>
      <c r="O4087" s="19"/>
      <c r="P4087" s="19"/>
      <c r="Q4087" s="19"/>
      <c r="R4087" s="19"/>
    </row>
    <row r="4088" spans="13:18">
      <c r="M4088" s="19"/>
      <c r="N4088" s="19"/>
      <c r="O4088" s="19"/>
      <c r="P4088" s="19"/>
      <c r="Q4088" s="19"/>
      <c r="R4088" s="19"/>
    </row>
    <row r="4089" spans="13:18">
      <c r="M4089" s="19"/>
      <c r="N4089" s="19"/>
      <c r="O4089" s="19"/>
      <c r="P4089" s="19"/>
      <c r="Q4089" s="19"/>
      <c r="R4089" s="19"/>
    </row>
    <row r="4090" spans="13:18">
      <c r="M4090" s="19"/>
      <c r="N4090" s="19"/>
      <c r="O4090" s="19"/>
      <c r="P4090" s="19"/>
      <c r="Q4090" s="19"/>
      <c r="R4090" s="19"/>
    </row>
    <row r="4091" spans="13:18">
      <c r="M4091" s="19"/>
      <c r="N4091" s="19"/>
      <c r="O4091" s="19"/>
      <c r="P4091" s="19"/>
      <c r="Q4091" s="19"/>
      <c r="R4091" s="19"/>
    </row>
    <row r="4092" spans="13:18">
      <c r="M4092" s="19"/>
      <c r="N4092" s="19"/>
      <c r="O4092" s="19"/>
      <c r="P4092" s="19"/>
      <c r="Q4092" s="19"/>
      <c r="R4092" s="19"/>
    </row>
    <row r="4093" spans="13:18">
      <c r="M4093" s="19"/>
      <c r="N4093" s="19"/>
      <c r="O4093" s="19"/>
      <c r="P4093" s="19"/>
      <c r="Q4093" s="19"/>
      <c r="R4093" s="19"/>
    </row>
    <row r="4094" spans="13:18">
      <c r="M4094" s="19"/>
      <c r="N4094" s="19"/>
      <c r="O4094" s="19"/>
      <c r="P4094" s="19"/>
      <c r="Q4094" s="19"/>
      <c r="R4094" s="19"/>
    </row>
    <row r="4095" spans="13:18">
      <c r="M4095" s="19"/>
      <c r="N4095" s="19"/>
      <c r="O4095" s="19"/>
      <c r="P4095" s="19"/>
      <c r="Q4095" s="19"/>
      <c r="R4095" s="19"/>
    </row>
    <row r="4096" spans="13:18">
      <c r="M4096" s="19"/>
      <c r="N4096" s="19"/>
      <c r="O4096" s="19"/>
      <c r="P4096" s="19"/>
      <c r="Q4096" s="19"/>
      <c r="R4096" s="19"/>
    </row>
    <row r="4097" spans="13:18">
      <c r="M4097" s="19"/>
      <c r="N4097" s="19"/>
      <c r="O4097" s="19"/>
      <c r="P4097" s="19"/>
      <c r="Q4097" s="19"/>
      <c r="R4097" s="19"/>
    </row>
    <row r="4098" spans="13:18">
      <c r="M4098" s="19"/>
      <c r="N4098" s="19"/>
      <c r="O4098" s="19"/>
      <c r="P4098" s="19"/>
      <c r="Q4098" s="19"/>
      <c r="R4098" s="19"/>
    </row>
    <row r="4099" spans="13:18">
      <c r="M4099" s="19"/>
      <c r="N4099" s="19"/>
      <c r="O4099" s="19"/>
      <c r="P4099" s="19"/>
      <c r="Q4099" s="19"/>
      <c r="R4099" s="19"/>
    </row>
    <row r="4100" spans="13:18">
      <c r="M4100" s="19"/>
      <c r="N4100" s="19"/>
      <c r="O4100" s="19"/>
      <c r="P4100" s="19"/>
      <c r="Q4100" s="19"/>
      <c r="R4100" s="19"/>
    </row>
    <row r="4101" spans="13:18">
      <c r="M4101" s="19"/>
      <c r="N4101" s="19"/>
      <c r="O4101" s="19"/>
      <c r="P4101" s="19"/>
      <c r="Q4101" s="19"/>
      <c r="R4101" s="19"/>
    </row>
    <row r="4102" spans="13:18">
      <c r="M4102" s="19"/>
      <c r="N4102" s="19"/>
      <c r="O4102" s="19"/>
      <c r="P4102" s="19"/>
      <c r="Q4102" s="19"/>
      <c r="R4102" s="19"/>
    </row>
    <row r="4103" spans="13:18">
      <c r="M4103" s="19"/>
      <c r="N4103" s="19"/>
      <c r="O4103" s="19"/>
      <c r="P4103" s="19"/>
      <c r="Q4103" s="19"/>
      <c r="R4103" s="19"/>
    </row>
    <row r="4104" spans="13:18">
      <c r="M4104" s="19"/>
      <c r="N4104" s="19"/>
      <c r="O4104" s="19"/>
      <c r="P4104" s="19"/>
      <c r="Q4104" s="19"/>
      <c r="R4104" s="19"/>
    </row>
    <row r="4105" spans="13:18">
      <c r="M4105" s="19"/>
      <c r="N4105" s="19"/>
      <c r="O4105" s="19"/>
      <c r="P4105" s="19"/>
      <c r="Q4105" s="19"/>
      <c r="R4105" s="19"/>
    </row>
    <row r="4106" spans="13:18">
      <c r="M4106" s="19"/>
      <c r="N4106" s="19"/>
      <c r="O4106" s="19"/>
      <c r="P4106" s="19"/>
      <c r="Q4106" s="19"/>
      <c r="R4106" s="19"/>
    </row>
    <row r="4107" spans="13:18">
      <c r="M4107" s="19"/>
      <c r="N4107" s="19"/>
      <c r="O4107" s="19"/>
      <c r="P4107" s="19"/>
      <c r="Q4107" s="19"/>
      <c r="R4107" s="19"/>
    </row>
    <row r="4108" spans="13:18">
      <c r="M4108" s="19"/>
      <c r="N4108" s="19"/>
      <c r="O4108" s="19"/>
      <c r="P4108" s="19"/>
      <c r="Q4108" s="19"/>
      <c r="R4108" s="19"/>
    </row>
    <row r="4109" spans="13:18">
      <c r="M4109" s="19"/>
      <c r="N4109" s="19"/>
      <c r="O4109" s="19"/>
      <c r="P4109" s="19"/>
      <c r="Q4109" s="19"/>
      <c r="R4109" s="19"/>
    </row>
    <row r="4110" spans="13:18">
      <c r="M4110" s="19"/>
      <c r="N4110" s="19"/>
      <c r="O4110" s="19"/>
      <c r="P4110" s="19"/>
      <c r="Q4110" s="19"/>
      <c r="R4110" s="19"/>
    </row>
    <row r="4111" spans="13:18">
      <c r="M4111" s="19"/>
      <c r="N4111" s="19"/>
      <c r="O4111" s="19"/>
      <c r="P4111" s="19"/>
      <c r="Q4111" s="19"/>
      <c r="R4111" s="19"/>
    </row>
    <row r="4112" spans="13:18">
      <c r="M4112" s="19"/>
      <c r="N4112" s="19"/>
      <c r="O4112" s="19"/>
      <c r="P4112" s="19"/>
      <c r="Q4112" s="19"/>
      <c r="R4112" s="19"/>
    </row>
    <row r="4113" spans="13:18">
      <c r="M4113" s="19"/>
      <c r="N4113" s="19"/>
      <c r="O4113" s="19"/>
      <c r="P4113" s="19"/>
      <c r="Q4113" s="19"/>
      <c r="R4113" s="19"/>
    </row>
    <row r="4114" spans="13:18">
      <c r="M4114" s="19"/>
      <c r="N4114" s="19"/>
      <c r="O4114" s="19"/>
      <c r="P4114" s="19"/>
      <c r="Q4114" s="19"/>
      <c r="R4114" s="19"/>
    </row>
    <row r="4115" spans="13:18">
      <c r="M4115" s="19"/>
      <c r="N4115" s="19"/>
      <c r="O4115" s="19"/>
      <c r="P4115" s="19"/>
      <c r="Q4115" s="19"/>
      <c r="R4115" s="19"/>
    </row>
    <row r="4116" spans="13:18">
      <c r="M4116" s="19"/>
      <c r="N4116" s="19"/>
      <c r="O4116" s="19"/>
      <c r="P4116" s="19"/>
      <c r="Q4116" s="19"/>
      <c r="R4116" s="19"/>
    </row>
    <row r="4117" spans="13:18">
      <c r="M4117" s="19"/>
      <c r="N4117" s="19"/>
      <c r="O4117" s="19"/>
      <c r="P4117" s="19"/>
      <c r="Q4117" s="19"/>
      <c r="R4117" s="19"/>
    </row>
    <row r="4118" spans="13:18">
      <c r="M4118" s="19"/>
      <c r="N4118" s="19"/>
      <c r="O4118" s="19"/>
      <c r="P4118" s="19"/>
      <c r="Q4118" s="19"/>
      <c r="R4118" s="19"/>
    </row>
    <row r="4119" spans="13:18">
      <c r="M4119" s="19"/>
      <c r="N4119" s="19"/>
      <c r="O4119" s="19"/>
      <c r="P4119" s="19"/>
      <c r="Q4119" s="19"/>
      <c r="R4119" s="19"/>
    </row>
    <row r="4120" spans="13:18">
      <c r="M4120" s="19"/>
      <c r="N4120" s="19"/>
      <c r="O4120" s="19"/>
      <c r="P4120" s="19"/>
      <c r="Q4120" s="19"/>
      <c r="R4120" s="19"/>
    </row>
    <row r="4121" spans="13:18">
      <c r="M4121" s="19"/>
      <c r="N4121" s="19"/>
      <c r="O4121" s="19"/>
      <c r="P4121" s="19"/>
      <c r="Q4121" s="19"/>
      <c r="R4121" s="19"/>
    </row>
    <row r="4122" spans="13:18">
      <c r="M4122" s="19"/>
      <c r="N4122" s="19"/>
      <c r="O4122" s="19"/>
      <c r="P4122" s="19"/>
      <c r="Q4122" s="19"/>
      <c r="R4122" s="19"/>
    </row>
    <row r="4123" spans="13:18">
      <c r="M4123" s="19"/>
      <c r="N4123" s="19"/>
      <c r="O4123" s="19"/>
      <c r="P4123" s="19"/>
      <c r="Q4123" s="19"/>
      <c r="R4123" s="19"/>
    </row>
    <row r="4124" spans="13:18">
      <c r="M4124" s="19"/>
      <c r="N4124" s="19"/>
      <c r="O4124" s="19"/>
      <c r="P4124" s="19"/>
      <c r="Q4124" s="19"/>
      <c r="R4124" s="19"/>
    </row>
    <row r="4125" spans="13:18">
      <c r="M4125" s="19"/>
      <c r="N4125" s="19"/>
      <c r="O4125" s="19"/>
      <c r="P4125" s="19"/>
      <c r="Q4125" s="19"/>
      <c r="R4125" s="19"/>
    </row>
    <row r="4126" spans="13:18">
      <c r="M4126" s="19"/>
      <c r="N4126" s="19"/>
      <c r="O4126" s="19"/>
      <c r="P4126" s="19"/>
      <c r="Q4126" s="19"/>
      <c r="R4126" s="19"/>
    </row>
    <row r="4127" spans="13:18">
      <c r="M4127" s="19"/>
      <c r="N4127" s="19"/>
      <c r="O4127" s="19"/>
      <c r="P4127" s="19"/>
      <c r="Q4127" s="19"/>
      <c r="R4127" s="19"/>
    </row>
    <row r="4128" spans="13:18">
      <c r="M4128" s="19"/>
      <c r="N4128" s="19"/>
      <c r="O4128" s="19"/>
      <c r="P4128" s="19"/>
      <c r="Q4128" s="19"/>
      <c r="R4128" s="19"/>
    </row>
    <row r="4129" spans="13:18">
      <c r="M4129" s="19"/>
      <c r="N4129" s="19"/>
      <c r="O4129" s="19"/>
      <c r="P4129" s="19"/>
      <c r="Q4129" s="19"/>
      <c r="R4129" s="19"/>
    </row>
    <row r="4130" spans="13:18">
      <c r="M4130" s="19"/>
      <c r="N4130" s="19"/>
      <c r="O4130" s="19"/>
      <c r="P4130" s="19"/>
      <c r="Q4130" s="19"/>
      <c r="R4130" s="19"/>
    </row>
    <row r="4131" spans="13:18">
      <c r="M4131" s="19"/>
      <c r="N4131" s="19"/>
      <c r="O4131" s="19"/>
      <c r="P4131" s="19"/>
      <c r="Q4131" s="19"/>
      <c r="R4131" s="19"/>
    </row>
    <row r="4132" spans="13:18">
      <c r="M4132" s="19"/>
      <c r="N4132" s="19"/>
      <c r="O4132" s="19"/>
      <c r="P4132" s="19"/>
      <c r="Q4132" s="19"/>
      <c r="R4132" s="19"/>
    </row>
    <row r="4133" spans="13:18">
      <c r="M4133" s="19"/>
      <c r="N4133" s="19"/>
      <c r="O4133" s="19"/>
      <c r="P4133" s="19"/>
      <c r="Q4133" s="19"/>
      <c r="R4133" s="19"/>
    </row>
    <row r="4134" spans="13:18">
      <c r="M4134" s="19"/>
      <c r="N4134" s="19"/>
      <c r="O4134" s="19"/>
      <c r="P4134" s="19"/>
      <c r="Q4134" s="19"/>
      <c r="R4134" s="19"/>
    </row>
    <row r="4135" spans="13:18">
      <c r="M4135" s="19"/>
      <c r="N4135" s="19"/>
      <c r="O4135" s="19"/>
      <c r="P4135" s="19"/>
      <c r="Q4135" s="19"/>
      <c r="R4135" s="19"/>
    </row>
    <row r="4136" spans="13:18">
      <c r="M4136" s="19"/>
      <c r="N4136" s="19"/>
      <c r="O4136" s="19"/>
      <c r="P4136" s="19"/>
      <c r="Q4136" s="19"/>
      <c r="R4136" s="19"/>
    </row>
    <row r="4137" spans="13:18">
      <c r="M4137" s="19"/>
      <c r="N4137" s="19"/>
      <c r="O4137" s="19"/>
      <c r="P4137" s="19"/>
      <c r="Q4137" s="19"/>
      <c r="R4137" s="19"/>
    </row>
    <row r="4138" spans="13:18">
      <c r="M4138" s="19"/>
      <c r="N4138" s="19"/>
      <c r="O4138" s="19"/>
      <c r="P4138" s="19"/>
      <c r="Q4138" s="19"/>
      <c r="R4138" s="19"/>
    </row>
    <row r="4139" spans="13:18">
      <c r="M4139" s="19"/>
      <c r="N4139" s="19"/>
      <c r="O4139" s="19"/>
      <c r="P4139" s="19"/>
      <c r="Q4139" s="19"/>
      <c r="R4139" s="19"/>
    </row>
    <row r="4140" spans="13:18">
      <c r="M4140" s="19"/>
      <c r="N4140" s="19"/>
      <c r="O4140" s="19"/>
      <c r="P4140" s="19"/>
      <c r="Q4140" s="19"/>
      <c r="R4140" s="19"/>
    </row>
    <row r="4141" spans="13:18">
      <c r="M4141" s="19"/>
      <c r="N4141" s="19"/>
      <c r="O4141" s="19"/>
      <c r="P4141" s="19"/>
      <c r="Q4141" s="19"/>
      <c r="R4141" s="19"/>
    </row>
    <row r="4142" spans="13:18">
      <c r="M4142" s="19"/>
      <c r="N4142" s="19"/>
      <c r="O4142" s="19"/>
      <c r="P4142" s="19"/>
      <c r="Q4142" s="19"/>
      <c r="R4142" s="19"/>
    </row>
    <row r="4143" spans="13:18">
      <c r="M4143" s="19"/>
      <c r="N4143" s="19"/>
      <c r="O4143" s="19"/>
      <c r="P4143" s="19"/>
      <c r="Q4143" s="19"/>
      <c r="R4143" s="19"/>
    </row>
    <row r="4144" spans="13:18">
      <c r="M4144" s="19"/>
      <c r="N4144" s="19"/>
      <c r="O4144" s="19"/>
      <c r="P4144" s="19"/>
      <c r="Q4144" s="19"/>
      <c r="R4144" s="19"/>
    </row>
    <row r="4145" spans="13:18">
      <c r="M4145" s="19"/>
      <c r="N4145" s="19"/>
      <c r="O4145" s="19"/>
      <c r="P4145" s="19"/>
      <c r="Q4145" s="19"/>
      <c r="R4145" s="19"/>
    </row>
    <row r="4146" spans="13:18">
      <c r="M4146" s="19"/>
      <c r="N4146" s="19"/>
      <c r="O4146" s="19"/>
      <c r="P4146" s="19"/>
      <c r="Q4146" s="19"/>
      <c r="R4146" s="19"/>
    </row>
    <row r="4147" spans="13:18">
      <c r="M4147" s="19"/>
      <c r="N4147" s="19"/>
      <c r="O4147" s="19"/>
      <c r="P4147" s="19"/>
      <c r="Q4147" s="19"/>
      <c r="R4147" s="19"/>
    </row>
    <row r="4148" spans="13:18">
      <c r="M4148" s="19"/>
      <c r="N4148" s="19"/>
      <c r="O4148" s="19"/>
      <c r="P4148" s="19"/>
      <c r="Q4148" s="19"/>
      <c r="R4148" s="19"/>
    </row>
    <row r="4149" spans="13:18">
      <c r="M4149" s="19"/>
      <c r="N4149" s="19"/>
      <c r="O4149" s="19"/>
      <c r="P4149" s="19"/>
      <c r="Q4149" s="19"/>
      <c r="R4149" s="19"/>
    </row>
    <row r="4150" spans="13:18">
      <c r="M4150" s="19"/>
      <c r="N4150" s="19"/>
      <c r="O4150" s="19"/>
      <c r="P4150" s="19"/>
      <c r="Q4150" s="19"/>
      <c r="R4150" s="19"/>
    </row>
    <row r="4151" spans="13:18">
      <c r="M4151" s="19"/>
      <c r="N4151" s="19"/>
      <c r="O4151" s="19"/>
      <c r="P4151" s="19"/>
      <c r="Q4151" s="19"/>
      <c r="R4151" s="19"/>
    </row>
    <row r="4152" spans="13:18">
      <c r="M4152" s="19"/>
      <c r="N4152" s="19"/>
      <c r="O4152" s="19"/>
      <c r="P4152" s="19"/>
      <c r="Q4152" s="19"/>
      <c r="R4152" s="19"/>
    </row>
    <row r="4153" spans="13:18">
      <c r="M4153" s="19"/>
      <c r="N4153" s="19"/>
      <c r="O4153" s="19"/>
      <c r="P4153" s="19"/>
      <c r="Q4153" s="19"/>
      <c r="R4153" s="19"/>
    </row>
    <row r="4154" spans="13:18">
      <c r="M4154" s="19"/>
      <c r="N4154" s="19"/>
      <c r="O4154" s="19"/>
      <c r="P4154" s="19"/>
      <c r="Q4154" s="19"/>
      <c r="R4154" s="19"/>
    </row>
    <row r="4155" spans="13:18">
      <c r="M4155" s="19"/>
      <c r="N4155" s="19"/>
      <c r="O4155" s="19"/>
      <c r="P4155" s="19"/>
      <c r="Q4155" s="19"/>
      <c r="R4155" s="19"/>
    </row>
    <row r="4156" spans="13:18">
      <c r="M4156" s="19"/>
      <c r="N4156" s="19"/>
      <c r="O4156" s="19"/>
      <c r="P4156" s="19"/>
      <c r="Q4156" s="19"/>
      <c r="R4156" s="19"/>
    </row>
    <row r="4157" spans="13:18">
      <c r="M4157" s="19"/>
      <c r="N4157" s="19"/>
      <c r="O4157" s="19"/>
      <c r="P4157" s="19"/>
      <c r="Q4157" s="19"/>
      <c r="R4157" s="19"/>
    </row>
    <row r="4158" spans="13:18">
      <c r="M4158" s="19"/>
      <c r="N4158" s="19"/>
      <c r="O4158" s="19"/>
      <c r="P4158" s="19"/>
      <c r="Q4158" s="19"/>
      <c r="R4158" s="19"/>
    </row>
    <row r="4159" spans="13:18">
      <c r="M4159" s="19"/>
      <c r="N4159" s="19"/>
      <c r="O4159" s="19"/>
      <c r="P4159" s="19"/>
      <c r="Q4159" s="19"/>
      <c r="R4159" s="19"/>
    </row>
    <row r="4160" spans="13:18">
      <c r="M4160" s="19"/>
      <c r="N4160" s="19"/>
      <c r="O4160" s="19"/>
      <c r="P4160" s="19"/>
      <c r="Q4160" s="19"/>
      <c r="R4160" s="19"/>
    </row>
    <row r="4161" spans="13:18">
      <c r="M4161" s="19"/>
      <c r="N4161" s="19"/>
      <c r="O4161" s="19"/>
      <c r="P4161" s="19"/>
      <c r="Q4161" s="19"/>
      <c r="R4161" s="19"/>
    </row>
    <row r="4162" spans="13:18">
      <c r="M4162" s="19"/>
      <c r="N4162" s="19"/>
      <c r="O4162" s="19"/>
      <c r="P4162" s="19"/>
      <c r="Q4162" s="19"/>
      <c r="R4162" s="19"/>
    </row>
    <row r="4163" spans="13:18">
      <c r="M4163" s="19"/>
      <c r="N4163" s="19"/>
      <c r="O4163" s="19"/>
      <c r="P4163" s="19"/>
      <c r="Q4163" s="19"/>
      <c r="R4163" s="19"/>
    </row>
    <row r="4164" spans="13:18">
      <c r="M4164" s="19"/>
      <c r="N4164" s="19"/>
      <c r="O4164" s="19"/>
      <c r="P4164" s="19"/>
      <c r="Q4164" s="19"/>
      <c r="R4164" s="19"/>
    </row>
    <row r="4165" spans="13:18">
      <c r="M4165" s="19"/>
      <c r="N4165" s="19"/>
      <c r="O4165" s="19"/>
      <c r="P4165" s="19"/>
      <c r="Q4165" s="19"/>
      <c r="R4165" s="19"/>
    </row>
    <row r="4166" spans="13:18">
      <c r="M4166" s="19"/>
      <c r="N4166" s="19"/>
      <c r="O4166" s="19"/>
      <c r="P4166" s="19"/>
      <c r="Q4166" s="19"/>
      <c r="R4166" s="19"/>
    </row>
    <row r="4167" spans="13:18">
      <c r="M4167" s="19"/>
      <c r="N4167" s="19"/>
      <c r="O4167" s="19"/>
      <c r="P4167" s="19"/>
      <c r="Q4167" s="19"/>
      <c r="R4167" s="19"/>
    </row>
    <row r="4168" spans="13:18">
      <c r="M4168" s="19"/>
      <c r="N4168" s="19"/>
      <c r="O4168" s="19"/>
      <c r="P4168" s="19"/>
      <c r="Q4168" s="19"/>
      <c r="R4168" s="19"/>
    </row>
    <row r="4169" spans="13:18">
      <c r="M4169" s="19"/>
      <c r="N4169" s="19"/>
      <c r="O4169" s="19"/>
      <c r="P4169" s="19"/>
      <c r="Q4169" s="19"/>
      <c r="R4169" s="19"/>
    </row>
    <row r="4170" spans="13:18">
      <c r="M4170" s="19"/>
      <c r="N4170" s="19"/>
      <c r="O4170" s="19"/>
      <c r="P4170" s="19"/>
      <c r="Q4170" s="19"/>
      <c r="R4170" s="19"/>
    </row>
    <row r="4171" spans="13:18">
      <c r="M4171" s="19"/>
      <c r="N4171" s="19"/>
      <c r="O4171" s="19"/>
      <c r="P4171" s="19"/>
      <c r="Q4171" s="19"/>
      <c r="R4171" s="19"/>
    </row>
    <row r="4172" spans="13:18">
      <c r="M4172" s="19"/>
      <c r="N4172" s="19"/>
      <c r="O4172" s="19"/>
      <c r="P4172" s="19"/>
      <c r="Q4172" s="19"/>
      <c r="R4172" s="19"/>
    </row>
    <row r="4173" spans="13:18">
      <c r="M4173" s="19"/>
      <c r="N4173" s="19"/>
      <c r="O4173" s="19"/>
      <c r="P4173" s="19"/>
      <c r="Q4173" s="19"/>
      <c r="R4173" s="19"/>
    </row>
    <row r="4174" spans="13:18">
      <c r="M4174" s="19"/>
      <c r="N4174" s="19"/>
      <c r="O4174" s="19"/>
      <c r="P4174" s="19"/>
      <c r="Q4174" s="19"/>
      <c r="R4174" s="19"/>
    </row>
    <row r="4175" spans="13:18">
      <c r="M4175" s="19"/>
      <c r="N4175" s="19"/>
      <c r="O4175" s="19"/>
      <c r="P4175" s="19"/>
      <c r="Q4175" s="19"/>
      <c r="R4175" s="19"/>
    </row>
    <row r="4176" spans="13:18">
      <c r="M4176" s="19"/>
      <c r="N4176" s="19"/>
      <c r="O4176" s="19"/>
      <c r="P4176" s="19"/>
      <c r="Q4176" s="19"/>
      <c r="R4176" s="19"/>
    </row>
    <row r="4177" spans="13:18">
      <c r="M4177" s="19"/>
      <c r="N4177" s="19"/>
      <c r="O4177" s="19"/>
      <c r="P4177" s="19"/>
      <c r="Q4177" s="19"/>
      <c r="R4177" s="19"/>
    </row>
    <row r="4178" spans="13:18">
      <c r="M4178" s="19"/>
      <c r="N4178" s="19"/>
      <c r="O4178" s="19"/>
      <c r="P4178" s="19"/>
      <c r="Q4178" s="19"/>
      <c r="R4178" s="19"/>
    </row>
    <row r="4179" spans="13:18">
      <c r="M4179" s="19"/>
      <c r="N4179" s="19"/>
      <c r="O4179" s="19"/>
      <c r="P4179" s="19"/>
      <c r="Q4179" s="19"/>
      <c r="R4179" s="19"/>
    </row>
    <row r="4180" spans="13:18">
      <c r="M4180" s="19"/>
      <c r="N4180" s="19"/>
      <c r="O4180" s="19"/>
      <c r="P4180" s="19"/>
      <c r="Q4180" s="19"/>
      <c r="R4180" s="19"/>
    </row>
    <row r="4181" spans="13:18">
      <c r="M4181" s="19"/>
      <c r="N4181" s="19"/>
      <c r="O4181" s="19"/>
      <c r="P4181" s="19"/>
      <c r="Q4181" s="19"/>
      <c r="R4181" s="19"/>
    </row>
    <row r="4182" spans="13:18">
      <c r="M4182" s="19"/>
      <c r="N4182" s="19"/>
      <c r="O4182" s="19"/>
      <c r="P4182" s="19"/>
      <c r="Q4182" s="19"/>
      <c r="R4182" s="19"/>
    </row>
    <row r="4183" spans="13:18">
      <c r="M4183" s="19"/>
      <c r="N4183" s="19"/>
      <c r="O4183" s="19"/>
      <c r="P4183" s="19"/>
      <c r="Q4183" s="19"/>
      <c r="R4183" s="19"/>
    </row>
    <row r="4184" spans="13:18">
      <c r="M4184" s="19"/>
      <c r="N4184" s="19"/>
      <c r="O4184" s="19"/>
      <c r="P4184" s="19"/>
      <c r="Q4184" s="19"/>
      <c r="R4184" s="19"/>
    </row>
    <row r="4185" spans="13:18">
      <c r="M4185" s="19"/>
      <c r="N4185" s="19"/>
      <c r="O4185" s="19"/>
      <c r="P4185" s="19"/>
      <c r="Q4185" s="19"/>
      <c r="R4185" s="19"/>
    </row>
    <row r="4186" spans="13:18">
      <c r="M4186" s="19"/>
      <c r="N4186" s="19"/>
      <c r="O4186" s="19"/>
      <c r="P4186" s="19"/>
      <c r="Q4186" s="19"/>
      <c r="R4186" s="19"/>
    </row>
    <row r="4187" spans="13:18">
      <c r="M4187" s="19"/>
      <c r="N4187" s="19"/>
      <c r="O4187" s="19"/>
      <c r="P4187" s="19"/>
      <c r="Q4187" s="19"/>
      <c r="R4187" s="19"/>
    </row>
    <row r="4188" spans="13:18">
      <c r="M4188" s="19"/>
      <c r="N4188" s="19"/>
      <c r="O4188" s="19"/>
      <c r="P4188" s="19"/>
      <c r="Q4188" s="19"/>
      <c r="R4188" s="19"/>
    </row>
    <row r="4189" spans="13:18">
      <c r="M4189" s="19"/>
      <c r="N4189" s="19"/>
      <c r="O4189" s="19"/>
      <c r="P4189" s="19"/>
      <c r="Q4189" s="19"/>
      <c r="R4189" s="19"/>
    </row>
    <row r="4190" spans="13:18">
      <c r="M4190" s="19"/>
      <c r="N4190" s="19"/>
      <c r="O4190" s="19"/>
      <c r="P4190" s="19"/>
      <c r="Q4190" s="19"/>
      <c r="R4190" s="19"/>
    </row>
    <row r="4191" spans="13:18">
      <c r="M4191" s="19"/>
      <c r="N4191" s="19"/>
      <c r="O4191" s="19"/>
      <c r="P4191" s="19"/>
      <c r="Q4191" s="19"/>
      <c r="R4191" s="19"/>
    </row>
    <row r="4192" spans="13:18">
      <c r="M4192" s="19"/>
      <c r="N4192" s="19"/>
      <c r="O4192" s="19"/>
      <c r="P4192" s="19"/>
      <c r="Q4192" s="19"/>
      <c r="R4192" s="19"/>
    </row>
    <row r="4193" spans="13:18">
      <c r="M4193" s="19"/>
      <c r="N4193" s="19"/>
      <c r="O4193" s="19"/>
      <c r="P4193" s="19"/>
      <c r="Q4193" s="19"/>
      <c r="R4193" s="19"/>
    </row>
    <row r="4194" spans="13:18">
      <c r="M4194" s="19"/>
      <c r="N4194" s="19"/>
      <c r="O4194" s="19"/>
      <c r="P4194" s="19"/>
      <c r="Q4194" s="19"/>
      <c r="R4194" s="19"/>
    </row>
    <row r="4195" spans="13:18">
      <c r="M4195" s="19"/>
      <c r="N4195" s="19"/>
      <c r="O4195" s="19"/>
      <c r="P4195" s="19"/>
      <c r="Q4195" s="19"/>
      <c r="R4195" s="19"/>
    </row>
    <row r="4196" spans="13:18">
      <c r="M4196" s="19"/>
      <c r="N4196" s="19"/>
      <c r="O4196" s="19"/>
      <c r="P4196" s="19"/>
      <c r="Q4196" s="19"/>
      <c r="R4196" s="19"/>
    </row>
    <row r="4197" spans="13:18">
      <c r="M4197" s="19"/>
      <c r="N4197" s="19"/>
      <c r="O4197" s="19"/>
      <c r="P4197" s="19"/>
      <c r="Q4197" s="19"/>
      <c r="R4197" s="19"/>
    </row>
    <row r="4198" spans="13:18">
      <c r="M4198" s="19"/>
      <c r="N4198" s="19"/>
      <c r="O4198" s="19"/>
      <c r="P4198" s="19"/>
      <c r="Q4198" s="19"/>
      <c r="R4198" s="19"/>
    </row>
    <row r="4199" spans="13:18">
      <c r="M4199" s="19"/>
      <c r="N4199" s="19"/>
      <c r="O4199" s="19"/>
      <c r="P4199" s="19"/>
      <c r="Q4199" s="19"/>
      <c r="R4199" s="19"/>
    </row>
    <row r="4200" spans="13:18">
      <c r="M4200" s="19"/>
      <c r="N4200" s="19"/>
      <c r="O4200" s="19"/>
      <c r="P4200" s="19"/>
      <c r="Q4200" s="19"/>
      <c r="R4200" s="19"/>
    </row>
    <row r="4201" spans="13:18">
      <c r="M4201" s="19"/>
      <c r="N4201" s="19"/>
      <c r="O4201" s="19"/>
      <c r="P4201" s="19"/>
      <c r="Q4201" s="19"/>
      <c r="R4201" s="19"/>
    </row>
    <row r="4202" spans="13:18">
      <c r="M4202" s="19"/>
      <c r="N4202" s="19"/>
      <c r="O4202" s="19"/>
      <c r="P4202" s="19"/>
      <c r="Q4202" s="19"/>
      <c r="R4202" s="19"/>
    </row>
    <row r="4203" spans="13:18">
      <c r="M4203" s="19"/>
      <c r="N4203" s="19"/>
      <c r="O4203" s="19"/>
      <c r="P4203" s="19"/>
      <c r="Q4203" s="19"/>
      <c r="R4203" s="19"/>
    </row>
    <row r="4204" spans="13:18">
      <c r="M4204" s="19"/>
      <c r="N4204" s="19"/>
      <c r="O4204" s="19"/>
      <c r="P4204" s="19"/>
      <c r="Q4204" s="19"/>
      <c r="R4204" s="19"/>
    </row>
    <row r="4205" spans="13:18">
      <c r="M4205" s="19"/>
      <c r="N4205" s="19"/>
      <c r="O4205" s="19"/>
      <c r="P4205" s="19"/>
      <c r="Q4205" s="19"/>
      <c r="R4205" s="19"/>
    </row>
    <row r="4206" spans="13:18">
      <c r="M4206" s="19"/>
      <c r="N4206" s="19"/>
      <c r="O4206" s="19"/>
      <c r="P4206" s="19"/>
      <c r="Q4206" s="19"/>
      <c r="R4206" s="19"/>
    </row>
    <row r="4207" spans="13:18">
      <c r="M4207" s="19"/>
      <c r="N4207" s="19"/>
      <c r="O4207" s="19"/>
      <c r="P4207" s="19"/>
      <c r="Q4207" s="19"/>
      <c r="R4207" s="19"/>
    </row>
    <row r="4208" spans="13:18">
      <c r="M4208" s="19"/>
      <c r="N4208" s="19"/>
      <c r="O4208" s="19"/>
      <c r="P4208" s="19"/>
      <c r="Q4208" s="19"/>
      <c r="R4208" s="19"/>
    </row>
    <row r="4209" spans="13:18">
      <c r="M4209" s="19"/>
      <c r="N4209" s="19"/>
      <c r="O4209" s="19"/>
      <c r="P4209" s="19"/>
      <c r="Q4209" s="19"/>
      <c r="R4209" s="19"/>
    </row>
    <row r="4210" spans="13:18">
      <c r="M4210" s="19"/>
      <c r="N4210" s="19"/>
      <c r="O4210" s="19"/>
      <c r="P4210" s="19"/>
      <c r="Q4210" s="19"/>
      <c r="R4210" s="19"/>
    </row>
    <row r="4211" spans="13:18">
      <c r="M4211" s="19"/>
      <c r="N4211" s="19"/>
      <c r="O4211" s="19"/>
      <c r="P4211" s="19"/>
      <c r="Q4211" s="19"/>
      <c r="R4211" s="19"/>
    </row>
    <row r="4212" spans="13:18">
      <c r="M4212" s="19"/>
      <c r="N4212" s="19"/>
      <c r="O4212" s="19"/>
      <c r="P4212" s="19"/>
      <c r="Q4212" s="19"/>
      <c r="R4212" s="19"/>
    </row>
    <row r="4213" spans="13:18">
      <c r="M4213" s="19"/>
      <c r="N4213" s="19"/>
      <c r="O4213" s="19"/>
      <c r="P4213" s="19"/>
      <c r="Q4213" s="19"/>
      <c r="R4213" s="19"/>
    </row>
    <row r="4214" spans="13:18">
      <c r="M4214" s="19"/>
      <c r="N4214" s="19"/>
      <c r="O4214" s="19"/>
      <c r="P4214" s="19"/>
      <c r="Q4214" s="19"/>
      <c r="R4214" s="19"/>
    </row>
    <row r="4215" spans="13:18">
      <c r="M4215" s="19"/>
      <c r="N4215" s="19"/>
      <c r="O4215" s="19"/>
      <c r="P4215" s="19"/>
      <c r="Q4215" s="19"/>
      <c r="R4215" s="19"/>
    </row>
    <row r="4216" spans="13:18">
      <c r="M4216" s="19"/>
      <c r="N4216" s="19"/>
      <c r="O4216" s="19"/>
      <c r="P4216" s="19"/>
      <c r="Q4216" s="19"/>
      <c r="R4216" s="19"/>
    </row>
    <row r="4217" spans="13:18">
      <c r="M4217" s="19"/>
      <c r="N4217" s="19"/>
      <c r="O4217" s="19"/>
      <c r="P4217" s="19"/>
      <c r="Q4217" s="19"/>
      <c r="R4217" s="19"/>
    </row>
    <row r="4218" spans="13:18">
      <c r="M4218" s="19"/>
      <c r="N4218" s="19"/>
      <c r="O4218" s="19"/>
      <c r="P4218" s="19"/>
      <c r="Q4218" s="19"/>
      <c r="R4218" s="19"/>
    </row>
    <row r="4219" spans="13:18">
      <c r="M4219" s="19"/>
      <c r="N4219" s="19"/>
      <c r="O4219" s="19"/>
      <c r="P4219" s="19"/>
      <c r="Q4219" s="19"/>
      <c r="R4219" s="19"/>
    </row>
    <row r="4220" spans="13:18">
      <c r="M4220" s="19"/>
      <c r="N4220" s="19"/>
      <c r="O4220" s="19"/>
      <c r="P4220" s="19"/>
      <c r="Q4220" s="19"/>
      <c r="R4220" s="19"/>
    </row>
    <row r="4221" spans="13:18">
      <c r="M4221" s="19"/>
      <c r="N4221" s="19"/>
      <c r="O4221" s="19"/>
      <c r="P4221" s="19"/>
      <c r="Q4221" s="19"/>
      <c r="R4221" s="19"/>
    </row>
    <row r="4222" spans="13:18">
      <c r="M4222" s="19"/>
      <c r="N4222" s="19"/>
      <c r="O4222" s="19"/>
      <c r="P4222" s="19"/>
      <c r="Q4222" s="19"/>
      <c r="R4222" s="19"/>
    </row>
    <row r="4223" spans="13:18">
      <c r="M4223" s="19"/>
      <c r="N4223" s="19"/>
      <c r="O4223" s="19"/>
      <c r="P4223" s="19"/>
      <c r="Q4223" s="19"/>
      <c r="R4223" s="19"/>
    </row>
    <row r="4224" spans="13:18">
      <c r="M4224" s="19"/>
      <c r="N4224" s="19"/>
      <c r="O4224" s="19"/>
      <c r="P4224" s="19"/>
      <c r="Q4224" s="19"/>
      <c r="R4224" s="19"/>
    </row>
    <row r="4225" spans="13:18">
      <c r="M4225" s="19"/>
      <c r="N4225" s="19"/>
      <c r="O4225" s="19"/>
      <c r="P4225" s="19"/>
      <c r="Q4225" s="19"/>
      <c r="R4225" s="19"/>
    </row>
    <row r="4226" spans="13:18">
      <c r="M4226" s="19"/>
      <c r="N4226" s="19"/>
      <c r="O4226" s="19"/>
      <c r="P4226" s="19"/>
      <c r="Q4226" s="19"/>
      <c r="R4226" s="19"/>
    </row>
    <row r="4227" spans="13:18">
      <c r="M4227" s="19"/>
      <c r="N4227" s="19"/>
      <c r="O4227" s="19"/>
      <c r="P4227" s="19"/>
      <c r="Q4227" s="19"/>
      <c r="R4227" s="19"/>
    </row>
    <row r="4228" spans="13:18">
      <c r="M4228" s="19"/>
      <c r="N4228" s="19"/>
      <c r="O4228" s="19"/>
      <c r="P4228" s="19"/>
      <c r="Q4228" s="19"/>
      <c r="R4228" s="19"/>
    </row>
    <row r="4229" spans="13:18">
      <c r="M4229" s="19"/>
      <c r="N4229" s="19"/>
      <c r="O4229" s="19"/>
      <c r="P4229" s="19"/>
      <c r="Q4229" s="19"/>
      <c r="R4229" s="19"/>
    </row>
    <row r="4230" spans="13:18">
      <c r="M4230" s="19"/>
      <c r="N4230" s="19"/>
      <c r="O4230" s="19"/>
      <c r="P4230" s="19"/>
      <c r="Q4230" s="19"/>
      <c r="R4230" s="19"/>
    </row>
    <row r="4231" spans="13:18">
      <c r="M4231" s="19"/>
      <c r="N4231" s="19"/>
      <c r="O4231" s="19"/>
      <c r="P4231" s="19"/>
      <c r="Q4231" s="19"/>
      <c r="R4231" s="19"/>
    </row>
    <row r="4232" spans="13:18">
      <c r="M4232" s="19"/>
      <c r="N4232" s="19"/>
      <c r="O4232" s="19"/>
      <c r="P4232" s="19"/>
      <c r="Q4232" s="19"/>
      <c r="R4232" s="19"/>
    </row>
    <row r="4233" spans="13:18">
      <c r="M4233" s="19"/>
      <c r="N4233" s="19"/>
      <c r="O4233" s="19"/>
      <c r="P4233" s="19"/>
      <c r="Q4233" s="19"/>
      <c r="R4233" s="19"/>
    </row>
    <row r="4234" spans="13:18">
      <c r="M4234" s="19"/>
      <c r="N4234" s="19"/>
      <c r="O4234" s="19"/>
      <c r="P4234" s="19"/>
      <c r="Q4234" s="19"/>
      <c r="R4234" s="19"/>
    </row>
    <row r="4235" spans="13:18">
      <c r="M4235" s="19"/>
      <c r="N4235" s="19"/>
      <c r="O4235" s="19"/>
      <c r="P4235" s="19"/>
      <c r="Q4235" s="19"/>
      <c r="R4235" s="19"/>
    </row>
    <row r="4236" spans="13:18">
      <c r="M4236" s="19"/>
      <c r="N4236" s="19"/>
      <c r="O4236" s="19"/>
      <c r="P4236" s="19"/>
      <c r="Q4236" s="19"/>
      <c r="R4236" s="19"/>
    </row>
    <row r="4237" spans="13:18">
      <c r="M4237" s="19"/>
      <c r="N4237" s="19"/>
      <c r="O4237" s="19"/>
      <c r="P4237" s="19"/>
      <c r="Q4237" s="19"/>
      <c r="R4237" s="19"/>
    </row>
    <row r="4238" spans="13:18">
      <c r="M4238" s="19"/>
      <c r="N4238" s="19"/>
      <c r="O4238" s="19"/>
      <c r="P4238" s="19"/>
      <c r="Q4238" s="19"/>
      <c r="R4238" s="19"/>
    </row>
    <row r="4239" spans="13:18">
      <c r="M4239" s="19"/>
      <c r="N4239" s="19"/>
      <c r="O4239" s="19"/>
      <c r="P4239" s="19"/>
      <c r="Q4239" s="19"/>
      <c r="R4239" s="19"/>
    </row>
    <row r="4240" spans="13:18">
      <c r="M4240" s="19"/>
      <c r="N4240" s="19"/>
      <c r="O4240" s="19"/>
      <c r="P4240" s="19"/>
      <c r="Q4240" s="19"/>
      <c r="R4240" s="19"/>
    </row>
    <row r="4241" spans="13:18">
      <c r="M4241" s="19"/>
      <c r="N4241" s="19"/>
      <c r="O4241" s="19"/>
      <c r="P4241" s="19"/>
      <c r="Q4241" s="19"/>
      <c r="R4241" s="19"/>
    </row>
    <row r="4242" spans="13:18">
      <c r="M4242" s="19"/>
      <c r="N4242" s="19"/>
      <c r="O4242" s="19"/>
      <c r="P4242" s="19"/>
      <c r="Q4242" s="19"/>
      <c r="R4242" s="19"/>
    </row>
    <row r="4243" spans="13:18">
      <c r="M4243" s="19"/>
      <c r="N4243" s="19"/>
      <c r="O4243" s="19"/>
      <c r="P4243" s="19"/>
      <c r="Q4243" s="19"/>
      <c r="R4243" s="19"/>
    </row>
    <row r="4244" spans="13:18">
      <c r="M4244" s="19"/>
      <c r="N4244" s="19"/>
      <c r="O4244" s="19"/>
      <c r="P4244" s="19"/>
      <c r="Q4244" s="19"/>
      <c r="R4244" s="19"/>
    </row>
    <row r="4245" spans="13:18">
      <c r="M4245" s="19"/>
      <c r="N4245" s="19"/>
      <c r="O4245" s="19"/>
      <c r="P4245" s="19"/>
      <c r="Q4245" s="19"/>
      <c r="R4245" s="19"/>
    </row>
    <row r="4246" spans="13:18">
      <c r="M4246" s="19"/>
      <c r="N4246" s="19"/>
      <c r="O4246" s="19"/>
      <c r="P4246" s="19"/>
      <c r="Q4246" s="19"/>
      <c r="R4246" s="19"/>
    </row>
    <row r="4247" spans="13:18">
      <c r="M4247" s="19"/>
      <c r="N4247" s="19"/>
      <c r="O4247" s="19"/>
      <c r="P4247" s="19"/>
      <c r="Q4247" s="19"/>
      <c r="R4247" s="19"/>
    </row>
    <row r="4248" spans="13:18">
      <c r="M4248" s="19"/>
      <c r="N4248" s="19"/>
      <c r="O4248" s="19"/>
      <c r="P4248" s="19"/>
      <c r="Q4248" s="19"/>
      <c r="R4248" s="19"/>
    </row>
    <row r="4249" spans="13:18">
      <c r="M4249" s="19"/>
      <c r="N4249" s="19"/>
      <c r="O4249" s="19"/>
      <c r="P4249" s="19"/>
      <c r="Q4249" s="19"/>
      <c r="R4249" s="19"/>
    </row>
    <row r="4250" spans="13:18">
      <c r="M4250" s="19"/>
      <c r="N4250" s="19"/>
      <c r="O4250" s="19"/>
      <c r="P4250" s="19"/>
      <c r="Q4250" s="19"/>
      <c r="R4250" s="19"/>
    </row>
    <row r="4251" spans="13:18">
      <c r="M4251" s="19"/>
      <c r="N4251" s="19"/>
      <c r="O4251" s="19"/>
      <c r="P4251" s="19"/>
      <c r="Q4251" s="19"/>
      <c r="R4251" s="19"/>
    </row>
    <row r="4252" spans="13:18">
      <c r="M4252" s="19"/>
      <c r="N4252" s="19"/>
      <c r="O4252" s="19"/>
      <c r="P4252" s="19"/>
      <c r="Q4252" s="19"/>
      <c r="R4252" s="19"/>
    </row>
    <row r="4253" spans="13:18">
      <c r="M4253" s="19"/>
      <c r="N4253" s="19"/>
      <c r="O4253" s="19"/>
      <c r="P4253" s="19"/>
      <c r="Q4253" s="19"/>
      <c r="R4253" s="19"/>
    </row>
    <row r="4254" spans="13:18">
      <c r="M4254" s="19"/>
      <c r="N4254" s="19"/>
      <c r="O4254" s="19"/>
      <c r="P4254" s="19"/>
      <c r="Q4254" s="19"/>
      <c r="R4254" s="19"/>
    </row>
    <row r="4255" spans="13:18">
      <c r="M4255" s="19"/>
      <c r="N4255" s="19"/>
      <c r="O4255" s="19"/>
      <c r="P4255" s="19"/>
      <c r="Q4255" s="19"/>
      <c r="R4255" s="19"/>
    </row>
    <row r="4256" spans="13:18">
      <c r="M4256" s="19"/>
      <c r="N4256" s="19"/>
      <c r="O4256" s="19"/>
      <c r="P4256" s="19"/>
      <c r="Q4256" s="19"/>
      <c r="R4256" s="19"/>
    </row>
    <row r="4257" spans="13:18">
      <c r="M4257" s="19"/>
      <c r="N4257" s="19"/>
      <c r="O4257" s="19"/>
      <c r="P4257" s="19"/>
      <c r="Q4257" s="19"/>
      <c r="R4257" s="19"/>
    </row>
    <row r="4258" spans="13:18">
      <c r="M4258" s="19"/>
      <c r="N4258" s="19"/>
      <c r="O4258" s="19"/>
      <c r="P4258" s="19"/>
      <c r="Q4258" s="19"/>
      <c r="R4258" s="19"/>
    </row>
    <row r="4259" spans="13:18">
      <c r="M4259" s="19"/>
      <c r="N4259" s="19"/>
      <c r="O4259" s="19"/>
      <c r="P4259" s="19"/>
      <c r="Q4259" s="19"/>
      <c r="R4259" s="19"/>
    </row>
    <row r="4260" spans="13:18">
      <c r="M4260" s="19"/>
      <c r="N4260" s="19"/>
      <c r="O4260" s="19"/>
      <c r="P4260" s="19"/>
      <c r="Q4260" s="19"/>
      <c r="R4260" s="19"/>
    </row>
    <row r="4261" spans="13:18">
      <c r="M4261" s="19"/>
      <c r="N4261" s="19"/>
      <c r="O4261" s="19"/>
      <c r="P4261" s="19"/>
      <c r="Q4261" s="19"/>
      <c r="R4261" s="19"/>
    </row>
    <row r="4262" spans="13:18">
      <c r="M4262" s="19"/>
      <c r="N4262" s="19"/>
      <c r="O4262" s="19"/>
      <c r="P4262" s="19"/>
      <c r="Q4262" s="19"/>
      <c r="R4262" s="19"/>
    </row>
    <row r="4263" spans="13:18">
      <c r="M4263" s="19"/>
      <c r="N4263" s="19"/>
      <c r="O4263" s="19"/>
      <c r="P4263" s="19"/>
      <c r="Q4263" s="19"/>
      <c r="R4263" s="19"/>
    </row>
    <row r="4264" spans="13:18">
      <c r="M4264" s="19"/>
      <c r="N4264" s="19"/>
      <c r="O4264" s="19"/>
      <c r="P4264" s="19"/>
      <c r="Q4264" s="19"/>
      <c r="R4264" s="19"/>
    </row>
    <row r="4265" spans="13:18">
      <c r="M4265" s="19"/>
      <c r="N4265" s="19"/>
      <c r="O4265" s="19"/>
      <c r="P4265" s="19"/>
      <c r="Q4265" s="19"/>
      <c r="R4265" s="19"/>
    </row>
    <row r="4266" spans="13:18">
      <c r="M4266" s="19"/>
      <c r="N4266" s="19"/>
      <c r="O4266" s="19"/>
      <c r="P4266" s="19"/>
      <c r="Q4266" s="19"/>
      <c r="R4266" s="19"/>
    </row>
    <row r="4267" spans="13:18">
      <c r="M4267" s="19"/>
      <c r="N4267" s="19"/>
      <c r="O4267" s="19"/>
      <c r="P4267" s="19"/>
      <c r="Q4267" s="19"/>
      <c r="R4267" s="19"/>
    </row>
    <row r="4268" spans="13:18">
      <c r="M4268" s="19"/>
      <c r="N4268" s="19"/>
      <c r="O4268" s="19"/>
      <c r="P4268" s="19"/>
      <c r="Q4268" s="19"/>
      <c r="R4268" s="19"/>
    </row>
    <row r="4269" spans="13:18">
      <c r="M4269" s="19"/>
      <c r="N4269" s="19"/>
      <c r="O4269" s="19"/>
      <c r="P4269" s="19"/>
      <c r="Q4269" s="19"/>
      <c r="R4269" s="19"/>
    </row>
    <row r="4270" spans="13:18">
      <c r="M4270" s="19"/>
      <c r="N4270" s="19"/>
      <c r="O4270" s="19"/>
      <c r="P4270" s="19"/>
      <c r="Q4270" s="19"/>
      <c r="R4270" s="19"/>
    </row>
    <row r="4271" spans="13:18">
      <c r="M4271" s="19"/>
      <c r="N4271" s="19"/>
      <c r="O4271" s="19"/>
      <c r="P4271" s="19"/>
      <c r="Q4271" s="19"/>
      <c r="R4271" s="19"/>
    </row>
    <row r="4272" spans="13:18">
      <c r="M4272" s="19"/>
      <c r="N4272" s="19"/>
      <c r="O4272" s="19"/>
      <c r="P4272" s="19"/>
      <c r="Q4272" s="19"/>
      <c r="R4272" s="19"/>
    </row>
    <row r="4273" spans="13:18">
      <c r="M4273" s="19"/>
      <c r="N4273" s="19"/>
      <c r="O4273" s="19"/>
      <c r="P4273" s="19"/>
      <c r="Q4273" s="19"/>
      <c r="R4273" s="19"/>
    </row>
    <row r="4274" spans="13:18">
      <c r="M4274" s="19"/>
      <c r="N4274" s="19"/>
      <c r="O4274" s="19"/>
      <c r="P4274" s="19"/>
      <c r="Q4274" s="19"/>
      <c r="R4274" s="19"/>
    </row>
    <row r="4275" spans="13:18">
      <c r="M4275" s="19"/>
      <c r="N4275" s="19"/>
      <c r="O4275" s="19"/>
      <c r="P4275" s="19"/>
      <c r="Q4275" s="19"/>
      <c r="R4275" s="19"/>
    </row>
    <row r="4276" spans="13:18">
      <c r="M4276" s="19"/>
      <c r="N4276" s="19"/>
      <c r="O4276" s="19"/>
      <c r="P4276" s="19"/>
      <c r="Q4276" s="19"/>
      <c r="R4276" s="19"/>
    </row>
    <row r="4277" spans="13:18">
      <c r="M4277" s="19"/>
      <c r="N4277" s="19"/>
      <c r="O4277" s="19"/>
      <c r="P4277" s="19"/>
      <c r="Q4277" s="19"/>
      <c r="R4277" s="19"/>
    </row>
    <row r="4278" spans="13:18">
      <c r="M4278" s="19"/>
      <c r="N4278" s="19"/>
      <c r="O4278" s="19"/>
      <c r="P4278" s="19"/>
      <c r="Q4278" s="19"/>
      <c r="R4278" s="19"/>
    </row>
    <row r="4279" spans="13:18">
      <c r="M4279" s="19"/>
      <c r="N4279" s="19"/>
      <c r="O4279" s="19"/>
      <c r="P4279" s="19"/>
      <c r="Q4279" s="19"/>
      <c r="R4279" s="19"/>
    </row>
    <row r="4280" spans="13:18">
      <c r="M4280" s="19"/>
      <c r="N4280" s="19"/>
      <c r="O4280" s="19"/>
      <c r="P4280" s="19"/>
      <c r="Q4280" s="19"/>
      <c r="R4280" s="19"/>
    </row>
    <row r="4281" spans="13:18">
      <c r="M4281" s="19"/>
      <c r="N4281" s="19"/>
      <c r="O4281" s="19"/>
      <c r="P4281" s="19"/>
      <c r="Q4281" s="19"/>
      <c r="R4281" s="19"/>
    </row>
    <row r="4282" spans="13:18">
      <c r="M4282" s="19"/>
      <c r="N4282" s="19"/>
      <c r="O4282" s="19"/>
      <c r="P4282" s="19"/>
      <c r="Q4282" s="19"/>
      <c r="R4282" s="19"/>
    </row>
    <row r="4283" spans="13:18">
      <c r="M4283" s="19"/>
      <c r="N4283" s="19"/>
      <c r="O4283" s="19"/>
      <c r="P4283" s="19"/>
      <c r="Q4283" s="19"/>
      <c r="R4283" s="19"/>
    </row>
    <row r="4284" spans="13:18">
      <c r="M4284" s="19"/>
      <c r="N4284" s="19"/>
      <c r="O4284" s="19"/>
      <c r="P4284" s="19"/>
      <c r="Q4284" s="19"/>
      <c r="R4284" s="19"/>
    </row>
    <row r="4285" spans="13:18">
      <c r="M4285" s="19"/>
      <c r="N4285" s="19"/>
      <c r="O4285" s="19"/>
      <c r="P4285" s="19"/>
      <c r="Q4285" s="19"/>
      <c r="R4285" s="19"/>
    </row>
    <row r="4286" spans="13:18">
      <c r="M4286" s="19"/>
      <c r="N4286" s="19"/>
      <c r="O4286" s="19"/>
      <c r="P4286" s="19"/>
      <c r="Q4286" s="19"/>
      <c r="R4286" s="19"/>
    </row>
    <row r="4287" spans="13:18">
      <c r="M4287" s="19"/>
      <c r="N4287" s="19"/>
      <c r="O4287" s="19"/>
      <c r="P4287" s="19"/>
      <c r="Q4287" s="19"/>
      <c r="R4287" s="19"/>
    </row>
    <row r="4288" spans="13:18">
      <c r="M4288" s="19"/>
      <c r="N4288" s="19"/>
      <c r="O4288" s="19"/>
      <c r="P4288" s="19"/>
      <c r="Q4288" s="19"/>
      <c r="R4288" s="19"/>
    </row>
    <row r="4289" spans="13:18">
      <c r="M4289" s="19"/>
      <c r="N4289" s="19"/>
      <c r="O4289" s="19"/>
      <c r="P4289" s="19"/>
      <c r="Q4289" s="19"/>
      <c r="R4289" s="19"/>
    </row>
    <row r="4290" spans="13:18">
      <c r="M4290" s="19"/>
      <c r="N4290" s="19"/>
      <c r="O4290" s="19"/>
      <c r="P4290" s="19"/>
      <c r="Q4290" s="19"/>
      <c r="R4290" s="19"/>
    </row>
    <row r="4291" spans="13:18">
      <c r="M4291" s="19"/>
      <c r="N4291" s="19"/>
      <c r="O4291" s="19"/>
      <c r="P4291" s="19"/>
      <c r="Q4291" s="19"/>
      <c r="R4291" s="19"/>
    </row>
    <row r="4292" spans="13:18">
      <c r="M4292" s="19"/>
      <c r="N4292" s="19"/>
      <c r="O4292" s="19"/>
      <c r="P4292" s="19"/>
      <c r="Q4292" s="19"/>
      <c r="R4292" s="19"/>
    </row>
    <row r="4293" spans="13:18">
      <c r="M4293" s="19"/>
      <c r="N4293" s="19"/>
      <c r="O4293" s="19"/>
      <c r="P4293" s="19"/>
      <c r="Q4293" s="19"/>
      <c r="R4293" s="19"/>
    </row>
    <row r="4294" spans="13:18">
      <c r="M4294" s="19"/>
      <c r="N4294" s="19"/>
      <c r="O4294" s="19"/>
      <c r="P4294" s="19"/>
      <c r="Q4294" s="19"/>
      <c r="R4294" s="19"/>
    </row>
    <row r="4295" spans="13:18">
      <c r="M4295" s="19"/>
      <c r="N4295" s="19"/>
      <c r="O4295" s="19"/>
      <c r="P4295" s="19"/>
      <c r="Q4295" s="19"/>
      <c r="R4295" s="19"/>
    </row>
    <row r="4296" spans="13:18">
      <c r="M4296" s="19"/>
      <c r="N4296" s="19"/>
      <c r="O4296" s="19"/>
      <c r="P4296" s="19"/>
      <c r="Q4296" s="19"/>
      <c r="R4296" s="19"/>
    </row>
    <row r="4297" spans="13:18">
      <c r="M4297" s="19"/>
      <c r="N4297" s="19"/>
      <c r="O4297" s="19"/>
      <c r="P4297" s="19"/>
      <c r="Q4297" s="19"/>
      <c r="R4297" s="19"/>
    </row>
    <row r="4298" spans="13:18">
      <c r="M4298" s="19"/>
      <c r="N4298" s="19"/>
      <c r="O4298" s="19"/>
      <c r="P4298" s="19"/>
      <c r="Q4298" s="19"/>
      <c r="R4298" s="19"/>
    </row>
    <row r="4299" spans="13:18">
      <c r="M4299" s="19"/>
      <c r="N4299" s="19"/>
      <c r="O4299" s="19"/>
      <c r="P4299" s="19"/>
      <c r="Q4299" s="19"/>
      <c r="R4299" s="19"/>
    </row>
    <row r="4300" spans="13:18">
      <c r="M4300" s="19"/>
      <c r="N4300" s="19"/>
      <c r="O4300" s="19"/>
      <c r="P4300" s="19"/>
      <c r="Q4300" s="19"/>
      <c r="R4300" s="19"/>
    </row>
    <row r="4301" spans="13:18">
      <c r="M4301" s="19"/>
      <c r="N4301" s="19"/>
      <c r="O4301" s="19"/>
      <c r="P4301" s="19"/>
      <c r="Q4301" s="19"/>
      <c r="R4301" s="19"/>
    </row>
    <row r="4302" spans="13:18">
      <c r="M4302" s="19"/>
      <c r="N4302" s="19"/>
      <c r="O4302" s="19"/>
      <c r="P4302" s="19"/>
      <c r="Q4302" s="19"/>
      <c r="R4302" s="19"/>
    </row>
    <row r="4303" spans="13:18">
      <c r="M4303" s="19"/>
      <c r="N4303" s="19"/>
      <c r="O4303" s="19"/>
      <c r="P4303" s="19"/>
      <c r="Q4303" s="19"/>
      <c r="R4303" s="19"/>
    </row>
    <row r="4304" spans="13:18">
      <c r="M4304" s="19"/>
      <c r="N4304" s="19"/>
      <c r="O4304" s="19"/>
      <c r="P4304" s="19"/>
      <c r="Q4304" s="19"/>
      <c r="R4304" s="19"/>
    </row>
    <row r="4305" spans="13:18">
      <c r="M4305" s="19"/>
      <c r="N4305" s="19"/>
      <c r="O4305" s="19"/>
      <c r="P4305" s="19"/>
      <c r="Q4305" s="19"/>
      <c r="R4305" s="19"/>
    </row>
    <row r="4306" spans="13:18">
      <c r="M4306" s="19"/>
      <c r="N4306" s="19"/>
      <c r="O4306" s="19"/>
      <c r="P4306" s="19"/>
      <c r="Q4306" s="19"/>
      <c r="R4306" s="19"/>
    </row>
    <row r="4307" spans="13:18">
      <c r="M4307" s="19"/>
      <c r="N4307" s="19"/>
      <c r="O4307" s="19"/>
      <c r="P4307" s="19"/>
      <c r="Q4307" s="19"/>
      <c r="R4307" s="19"/>
    </row>
    <row r="4308" spans="13:18">
      <c r="M4308" s="19"/>
      <c r="N4308" s="19"/>
      <c r="O4308" s="19"/>
      <c r="P4308" s="19"/>
      <c r="Q4308" s="19"/>
      <c r="R4308" s="19"/>
    </row>
    <row r="4309" spans="13:18">
      <c r="M4309" s="19"/>
      <c r="N4309" s="19"/>
      <c r="O4309" s="19"/>
      <c r="P4309" s="19"/>
      <c r="Q4309" s="19"/>
      <c r="R4309" s="19"/>
    </row>
    <row r="4310" spans="13:18">
      <c r="M4310" s="19"/>
      <c r="N4310" s="19"/>
      <c r="O4310" s="19"/>
      <c r="P4310" s="19"/>
      <c r="Q4310" s="19"/>
      <c r="R4310" s="19"/>
    </row>
    <row r="4311" spans="13:18">
      <c r="M4311" s="19"/>
      <c r="N4311" s="19"/>
      <c r="O4311" s="19"/>
      <c r="P4311" s="19"/>
      <c r="Q4311" s="19"/>
      <c r="R4311" s="19"/>
    </row>
    <row r="4312" spans="13:18">
      <c r="M4312" s="19"/>
      <c r="N4312" s="19"/>
      <c r="O4312" s="19"/>
      <c r="P4312" s="19"/>
      <c r="Q4312" s="19"/>
      <c r="R4312" s="19"/>
    </row>
    <row r="4313" spans="13:18">
      <c r="M4313" s="19"/>
      <c r="N4313" s="19"/>
      <c r="O4313" s="19"/>
      <c r="P4313" s="19"/>
      <c r="Q4313" s="19"/>
      <c r="R4313" s="19"/>
    </row>
    <row r="4314" spans="13:18">
      <c r="M4314" s="19"/>
      <c r="N4314" s="19"/>
      <c r="O4314" s="19"/>
      <c r="P4314" s="19"/>
      <c r="Q4314" s="19"/>
      <c r="R4314" s="19"/>
    </row>
    <row r="4315" spans="13:18">
      <c r="M4315" s="19"/>
      <c r="N4315" s="19"/>
      <c r="O4315" s="19"/>
      <c r="P4315" s="19"/>
      <c r="Q4315" s="19"/>
      <c r="R4315" s="19"/>
    </row>
    <row r="4316" spans="13:18">
      <c r="M4316" s="19"/>
      <c r="N4316" s="19"/>
      <c r="O4316" s="19"/>
      <c r="P4316" s="19"/>
      <c r="Q4316" s="19"/>
      <c r="R4316" s="19"/>
    </row>
    <row r="4317" spans="13:18">
      <c r="M4317" s="19"/>
      <c r="N4317" s="19"/>
      <c r="O4317" s="19"/>
      <c r="P4317" s="19"/>
      <c r="Q4317" s="19"/>
      <c r="R4317" s="19"/>
    </row>
    <row r="4318" spans="13:18">
      <c r="M4318" s="19"/>
      <c r="N4318" s="19"/>
      <c r="O4318" s="19"/>
      <c r="P4318" s="19"/>
      <c r="Q4318" s="19"/>
      <c r="R4318" s="19"/>
    </row>
    <row r="4319" spans="13:18">
      <c r="M4319" s="19"/>
      <c r="N4319" s="19"/>
      <c r="O4319" s="19"/>
      <c r="P4319" s="19"/>
      <c r="Q4319" s="19"/>
      <c r="R4319" s="19"/>
    </row>
    <row r="4320" spans="13:18">
      <c r="M4320" s="19"/>
      <c r="N4320" s="19"/>
      <c r="O4320" s="19"/>
      <c r="P4320" s="19"/>
      <c r="Q4320" s="19"/>
      <c r="R4320" s="19"/>
    </row>
    <row r="4321" spans="13:18">
      <c r="M4321" s="19"/>
      <c r="N4321" s="19"/>
      <c r="O4321" s="19"/>
      <c r="P4321" s="19"/>
      <c r="Q4321" s="19"/>
      <c r="R4321" s="19"/>
    </row>
    <row r="4322" spans="13:18">
      <c r="M4322" s="19"/>
      <c r="N4322" s="19"/>
      <c r="O4322" s="19"/>
      <c r="P4322" s="19"/>
      <c r="Q4322" s="19"/>
      <c r="R4322" s="19"/>
    </row>
    <row r="4323" spans="13:18">
      <c r="M4323" s="19"/>
      <c r="N4323" s="19"/>
      <c r="O4323" s="19"/>
      <c r="P4323" s="19"/>
      <c r="Q4323" s="19"/>
      <c r="R4323" s="19"/>
    </row>
    <row r="4324" spans="13:18">
      <c r="M4324" s="19"/>
      <c r="N4324" s="19"/>
      <c r="O4324" s="19"/>
      <c r="P4324" s="19"/>
      <c r="Q4324" s="19"/>
      <c r="R4324" s="19"/>
    </row>
    <row r="4325" spans="13:18">
      <c r="M4325" s="19"/>
      <c r="N4325" s="19"/>
      <c r="O4325" s="19"/>
      <c r="P4325" s="19"/>
      <c r="Q4325" s="19"/>
      <c r="R4325" s="19"/>
    </row>
    <row r="4326" spans="13:18">
      <c r="M4326" s="19"/>
      <c r="N4326" s="19"/>
      <c r="O4326" s="19"/>
      <c r="P4326" s="19"/>
      <c r="Q4326" s="19"/>
      <c r="R4326" s="19"/>
    </row>
    <row r="4327" spans="13:18">
      <c r="M4327" s="19"/>
      <c r="N4327" s="19"/>
      <c r="O4327" s="19"/>
      <c r="P4327" s="19"/>
      <c r="Q4327" s="19"/>
      <c r="R4327" s="19"/>
    </row>
    <row r="4328" spans="13:18">
      <c r="M4328" s="19"/>
      <c r="N4328" s="19"/>
      <c r="O4328" s="19"/>
      <c r="P4328" s="19"/>
      <c r="Q4328" s="19"/>
      <c r="R4328" s="19"/>
    </row>
    <row r="4329" spans="13:18">
      <c r="M4329" s="19"/>
      <c r="N4329" s="19"/>
      <c r="O4329" s="19"/>
      <c r="P4329" s="19"/>
      <c r="Q4329" s="19"/>
      <c r="R4329" s="19"/>
    </row>
    <row r="4330" spans="13:18">
      <c r="M4330" s="19"/>
      <c r="N4330" s="19"/>
      <c r="O4330" s="19"/>
      <c r="P4330" s="19"/>
      <c r="Q4330" s="19"/>
      <c r="R4330" s="19"/>
    </row>
    <row r="4331" spans="13:18">
      <c r="M4331" s="19"/>
      <c r="N4331" s="19"/>
      <c r="O4331" s="19"/>
      <c r="P4331" s="19"/>
      <c r="Q4331" s="19"/>
      <c r="R4331" s="19"/>
    </row>
    <row r="4332" spans="13:18">
      <c r="M4332" s="19"/>
      <c r="N4332" s="19"/>
      <c r="O4332" s="19"/>
      <c r="P4332" s="19"/>
      <c r="Q4332" s="19"/>
      <c r="R4332" s="19"/>
    </row>
    <row r="4333" spans="13:18">
      <c r="M4333" s="19"/>
      <c r="N4333" s="19"/>
      <c r="O4333" s="19"/>
      <c r="P4333" s="19"/>
      <c r="Q4333" s="19"/>
      <c r="R4333" s="19"/>
    </row>
    <row r="4334" spans="13:18">
      <c r="M4334" s="19"/>
      <c r="N4334" s="19"/>
      <c r="O4334" s="19"/>
      <c r="P4334" s="19"/>
      <c r="Q4334" s="19"/>
      <c r="R4334" s="19"/>
    </row>
    <row r="4335" spans="13:18">
      <c r="M4335" s="19"/>
      <c r="N4335" s="19"/>
      <c r="O4335" s="19"/>
      <c r="P4335" s="19"/>
      <c r="Q4335" s="19"/>
      <c r="R4335" s="19"/>
    </row>
    <row r="4336" spans="13:18">
      <c r="M4336" s="19"/>
      <c r="N4336" s="19"/>
      <c r="O4336" s="19"/>
      <c r="P4336" s="19"/>
      <c r="Q4336" s="19"/>
      <c r="R4336" s="19"/>
    </row>
    <row r="4337" spans="13:18">
      <c r="M4337" s="19"/>
      <c r="N4337" s="19"/>
      <c r="O4337" s="19"/>
      <c r="P4337" s="19"/>
      <c r="Q4337" s="19"/>
      <c r="R4337" s="19"/>
    </row>
    <row r="4338" spans="13:18">
      <c r="M4338" s="19"/>
      <c r="N4338" s="19"/>
      <c r="O4338" s="19"/>
      <c r="P4338" s="19"/>
      <c r="Q4338" s="19"/>
      <c r="R4338" s="19"/>
    </row>
    <row r="4339" spans="13:18">
      <c r="M4339" s="19"/>
      <c r="N4339" s="19"/>
      <c r="O4339" s="19"/>
      <c r="P4339" s="19"/>
      <c r="Q4339" s="19"/>
      <c r="R4339" s="19"/>
    </row>
    <row r="4340" spans="13:18">
      <c r="M4340" s="19"/>
      <c r="N4340" s="19"/>
      <c r="O4340" s="19"/>
      <c r="P4340" s="19"/>
      <c r="Q4340" s="19"/>
      <c r="R4340" s="19"/>
    </row>
    <row r="4341" spans="13:18">
      <c r="M4341" s="19"/>
      <c r="N4341" s="19"/>
      <c r="O4341" s="19"/>
      <c r="P4341" s="19"/>
      <c r="Q4341" s="19"/>
      <c r="R4341" s="19"/>
    </row>
    <row r="4342" spans="13:18">
      <c r="M4342" s="19"/>
      <c r="N4342" s="19"/>
      <c r="O4342" s="19"/>
      <c r="P4342" s="19"/>
      <c r="Q4342" s="19"/>
      <c r="R4342" s="19"/>
    </row>
    <row r="4343" spans="13:18">
      <c r="M4343" s="19"/>
      <c r="N4343" s="19"/>
      <c r="O4343" s="19"/>
      <c r="P4343" s="19"/>
      <c r="Q4343" s="19"/>
      <c r="R4343" s="19"/>
    </row>
    <row r="4344" spans="13:18">
      <c r="M4344" s="19"/>
      <c r="N4344" s="19"/>
      <c r="O4344" s="19"/>
      <c r="P4344" s="19"/>
      <c r="Q4344" s="19"/>
      <c r="R4344" s="19"/>
    </row>
    <row r="4345" spans="13:18">
      <c r="M4345" s="19"/>
      <c r="N4345" s="19"/>
      <c r="O4345" s="19"/>
      <c r="P4345" s="19"/>
      <c r="Q4345" s="19"/>
      <c r="R4345" s="19"/>
    </row>
    <row r="4346" spans="13:18">
      <c r="M4346" s="19"/>
      <c r="N4346" s="19"/>
      <c r="O4346" s="19"/>
      <c r="P4346" s="19"/>
      <c r="Q4346" s="19"/>
      <c r="R4346" s="19"/>
    </row>
    <row r="4347" spans="13:18">
      <c r="M4347" s="19"/>
      <c r="N4347" s="19"/>
      <c r="O4347" s="19"/>
      <c r="P4347" s="19"/>
      <c r="Q4347" s="19"/>
      <c r="R4347" s="19"/>
    </row>
    <row r="4348" spans="13:18">
      <c r="M4348" s="19"/>
      <c r="N4348" s="19"/>
      <c r="O4348" s="19"/>
      <c r="P4348" s="19"/>
      <c r="Q4348" s="19"/>
      <c r="R4348" s="19"/>
    </row>
    <row r="4349" spans="13:18">
      <c r="M4349" s="19"/>
      <c r="N4349" s="19"/>
      <c r="O4349" s="19"/>
      <c r="P4349" s="19"/>
      <c r="Q4349" s="19"/>
      <c r="R4349" s="19"/>
    </row>
    <row r="4350" spans="13:18">
      <c r="M4350" s="19"/>
      <c r="N4350" s="19"/>
      <c r="O4350" s="19"/>
      <c r="P4350" s="19"/>
      <c r="Q4350" s="19"/>
      <c r="R4350" s="19"/>
    </row>
    <row r="4351" spans="13:18">
      <c r="M4351" s="19"/>
      <c r="N4351" s="19"/>
      <c r="O4351" s="19"/>
      <c r="P4351" s="19"/>
      <c r="Q4351" s="19"/>
      <c r="R4351" s="19"/>
    </row>
    <row r="4352" spans="13:18">
      <c r="M4352" s="19"/>
      <c r="N4352" s="19"/>
      <c r="O4352" s="19"/>
      <c r="P4352" s="19"/>
      <c r="Q4352" s="19"/>
      <c r="R4352" s="19"/>
    </row>
    <row r="4353" spans="13:18">
      <c r="M4353" s="19"/>
      <c r="N4353" s="19"/>
      <c r="O4353" s="19"/>
      <c r="P4353" s="19"/>
      <c r="Q4353" s="19"/>
      <c r="R4353" s="19"/>
    </row>
    <row r="4354" spans="13:18">
      <c r="M4354" s="19"/>
      <c r="N4354" s="19"/>
      <c r="O4354" s="19"/>
      <c r="P4354" s="19"/>
      <c r="Q4354" s="19"/>
      <c r="R4354" s="19"/>
    </row>
    <row r="4355" spans="13:18">
      <c r="M4355" s="19"/>
      <c r="N4355" s="19"/>
      <c r="O4355" s="19"/>
      <c r="P4355" s="19"/>
      <c r="Q4355" s="19"/>
      <c r="R4355" s="19"/>
    </row>
    <row r="4356" spans="13:18">
      <c r="M4356" s="19"/>
      <c r="N4356" s="19"/>
      <c r="O4356" s="19"/>
      <c r="P4356" s="19"/>
      <c r="Q4356" s="19"/>
      <c r="R4356" s="19"/>
    </row>
    <row r="4357" spans="13:18">
      <c r="M4357" s="19"/>
      <c r="N4357" s="19"/>
      <c r="O4357" s="19"/>
      <c r="P4357" s="19"/>
      <c r="Q4357" s="19"/>
      <c r="R4357" s="19"/>
    </row>
    <row r="4358" spans="13:18">
      <c r="M4358" s="19"/>
      <c r="N4358" s="19"/>
      <c r="O4358" s="19"/>
      <c r="P4358" s="19"/>
      <c r="Q4358" s="19"/>
      <c r="R4358" s="19"/>
    </row>
    <row r="4359" spans="13:18">
      <c r="M4359" s="19"/>
      <c r="N4359" s="19"/>
      <c r="O4359" s="19"/>
      <c r="P4359" s="19"/>
      <c r="Q4359" s="19"/>
      <c r="R4359" s="19"/>
    </row>
    <row r="4360" spans="13:18">
      <c r="M4360" s="19"/>
      <c r="N4360" s="19"/>
      <c r="O4360" s="19"/>
      <c r="P4360" s="19"/>
      <c r="Q4360" s="19"/>
      <c r="R4360" s="19"/>
    </row>
    <row r="4361" spans="13:18">
      <c r="M4361" s="19"/>
      <c r="N4361" s="19"/>
      <c r="O4361" s="19"/>
      <c r="P4361" s="19"/>
      <c r="Q4361" s="19"/>
      <c r="R4361" s="19"/>
    </row>
    <row r="4362" spans="13:18">
      <c r="M4362" s="19"/>
      <c r="N4362" s="19"/>
      <c r="O4362" s="19"/>
      <c r="P4362" s="19"/>
      <c r="Q4362" s="19"/>
      <c r="R4362" s="19"/>
    </row>
    <row r="4363" spans="13:18">
      <c r="M4363" s="19"/>
      <c r="N4363" s="19"/>
      <c r="O4363" s="19"/>
      <c r="P4363" s="19"/>
      <c r="Q4363" s="19"/>
      <c r="R4363" s="19"/>
    </row>
    <row r="4364" spans="13:18">
      <c r="M4364" s="19"/>
      <c r="N4364" s="19"/>
      <c r="O4364" s="19"/>
      <c r="P4364" s="19"/>
      <c r="Q4364" s="19"/>
      <c r="R4364" s="19"/>
    </row>
    <row r="4365" spans="13:18">
      <c r="M4365" s="19"/>
      <c r="N4365" s="19"/>
      <c r="O4365" s="19"/>
      <c r="P4365" s="19"/>
      <c r="Q4365" s="19"/>
      <c r="R4365" s="19"/>
    </row>
    <row r="4366" spans="13:18">
      <c r="M4366" s="19"/>
      <c r="N4366" s="19"/>
      <c r="O4366" s="19"/>
      <c r="P4366" s="19"/>
      <c r="Q4366" s="19"/>
      <c r="R4366" s="19"/>
    </row>
    <row r="4367" spans="13:18">
      <c r="M4367" s="19"/>
      <c r="N4367" s="19"/>
      <c r="O4367" s="19"/>
      <c r="P4367" s="19"/>
      <c r="Q4367" s="19"/>
      <c r="R4367" s="19"/>
    </row>
    <row r="4368" spans="13:18">
      <c r="M4368" s="19"/>
      <c r="N4368" s="19"/>
      <c r="O4368" s="19"/>
      <c r="P4368" s="19"/>
      <c r="Q4368" s="19"/>
      <c r="R4368" s="19"/>
    </row>
    <row r="4369" spans="13:18">
      <c r="M4369" s="19"/>
      <c r="N4369" s="19"/>
      <c r="O4369" s="19"/>
      <c r="P4369" s="19"/>
      <c r="Q4369" s="19"/>
      <c r="R4369" s="19"/>
    </row>
    <row r="4370" spans="13:18">
      <c r="M4370" s="19"/>
      <c r="N4370" s="19"/>
      <c r="O4370" s="19"/>
      <c r="P4370" s="19"/>
      <c r="Q4370" s="19"/>
      <c r="R4370" s="19"/>
    </row>
    <row r="4371" spans="13:18">
      <c r="M4371" s="19"/>
      <c r="N4371" s="19"/>
      <c r="O4371" s="19"/>
      <c r="P4371" s="19"/>
      <c r="Q4371" s="19"/>
      <c r="R4371" s="19"/>
    </row>
    <row r="4372" spans="13:18">
      <c r="M4372" s="19"/>
      <c r="N4372" s="19"/>
      <c r="O4372" s="19"/>
      <c r="P4372" s="19"/>
      <c r="Q4372" s="19"/>
      <c r="R4372" s="19"/>
    </row>
    <row r="4373" spans="13:18">
      <c r="M4373" s="19"/>
      <c r="N4373" s="19"/>
      <c r="O4373" s="19"/>
      <c r="P4373" s="19"/>
      <c r="Q4373" s="19"/>
      <c r="R4373" s="19"/>
    </row>
    <row r="4374" spans="13:18">
      <c r="M4374" s="19"/>
      <c r="N4374" s="19"/>
      <c r="O4374" s="19"/>
      <c r="P4374" s="19"/>
      <c r="Q4374" s="19"/>
      <c r="R4374" s="19"/>
    </row>
    <row r="4375" spans="13:18">
      <c r="M4375" s="19"/>
      <c r="N4375" s="19"/>
      <c r="O4375" s="19"/>
      <c r="P4375" s="19"/>
      <c r="Q4375" s="19"/>
      <c r="R4375" s="19"/>
    </row>
    <row r="4376" spans="13:18">
      <c r="M4376" s="19"/>
      <c r="N4376" s="19"/>
      <c r="O4376" s="19"/>
      <c r="P4376" s="19"/>
      <c r="Q4376" s="19"/>
      <c r="R4376" s="19"/>
    </row>
    <row r="4377" spans="13:18">
      <c r="M4377" s="19"/>
      <c r="N4377" s="19"/>
      <c r="O4377" s="19"/>
      <c r="P4377" s="19"/>
      <c r="Q4377" s="19"/>
      <c r="R4377" s="19"/>
    </row>
    <row r="4378" spans="13:18">
      <c r="M4378" s="19"/>
      <c r="N4378" s="19"/>
      <c r="O4378" s="19"/>
      <c r="P4378" s="19"/>
      <c r="Q4378" s="19"/>
      <c r="R4378" s="19"/>
    </row>
    <row r="4379" spans="13:18">
      <c r="M4379" s="19"/>
      <c r="N4379" s="19"/>
      <c r="O4379" s="19"/>
      <c r="P4379" s="19"/>
      <c r="Q4379" s="19"/>
      <c r="R4379" s="19"/>
    </row>
    <row r="4380" spans="13:18">
      <c r="M4380" s="19"/>
      <c r="N4380" s="19"/>
      <c r="O4380" s="19"/>
      <c r="P4380" s="19"/>
      <c r="Q4380" s="19"/>
      <c r="R4380" s="19"/>
    </row>
    <row r="4381" spans="13:18">
      <c r="M4381" s="19"/>
      <c r="N4381" s="19"/>
      <c r="O4381" s="19"/>
      <c r="P4381" s="19"/>
      <c r="Q4381" s="19"/>
      <c r="R4381" s="19"/>
    </row>
    <row r="4382" spans="13:18">
      <c r="M4382" s="19"/>
      <c r="N4382" s="19"/>
      <c r="O4382" s="19"/>
      <c r="P4382" s="19"/>
      <c r="Q4382" s="19"/>
      <c r="R4382" s="19"/>
    </row>
    <row r="4383" spans="13:18">
      <c r="M4383" s="19"/>
      <c r="N4383" s="19"/>
      <c r="O4383" s="19"/>
      <c r="P4383" s="19"/>
      <c r="Q4383" s="19"/>
      <c r="R4383" s="19"/>
    </row>
    <row r="4384" spans="13:18">
      <c r="M4384" s="19"/>
      <c r="N4384" s="19"/>
      <c r="O4384" s="19"/>
      <c r="P4384" s="19"/>
      <c r="Q4384" s="19"/>
      <c r="R4384" s="19"/>
    </row>
    <row r="4385" spans="13:18">
      <c r="M4385" s="19"/>
      <c r="N4385" s="19"/>
      <c r="O4385" s="19"/>
      <c r="P4385" s="19"/>
      <c r="Q4385" s="19"/>
      <c r="R4385" s="19"/>
    </row>
    <row r="4386" spans="13:18">
      <c r="M4386" s="19"/>
      <c r="N4386" s="19"/>
      <c r="O4386" s="19"/>
      <c r="P4386" s="19"/>
      <c r="Q4386" s="19"/>
      <c r="R4386" s="19"/>
    </row>
    <row r="4387" spans="13:18">
      <c r="M4387" s="19"/>
      <c r="N4387" s="19"/>
      <c r="O4387" s="19"/>
      <c r="P4387" s="19"/>
      <c r="Q4387" s="19"/>
      <c r="R4387" s="19"/>
    </row>
    <row r="4388" spans="13:18">
      <c r="M4388" s="19"/>
      <c r="N4388" s="19"/>
      <c r="O4388" s="19"/>
      <c r="P4388" s="19"/>
      <c r="Q4388" s="19"/>
      <c r="R4388" s="19"/>
    </row>
    <row r="4389" spans="13:18">
      <c r="M4389" s="19"/>
      <c r="N4389" s="19"/>
      <c r="O4389" s="19"/>
      <c r="P4389" s="19"/>
      <c r="Q4389" s="19"/>
      <c r="R4389" s="19"/>
    </row>
    <row r="4390" spans="13:18">
      <c r="M4390" s="19"/>
      <c r="N4390" s="19"/>
      <c r="O4390" s="19"/>
      <c r="P4390" s="19"/>
      <c r="Q4390" s="19"/>
      <c r="R4390" s="19"/>
    </row>
    <row r="4391" spans="13:18">
      <c r="M4391" s="19"/>
      <c r="N4391" s="19"/>
      <c r="O4391" s="19"/>
      <c r="P4391" s="19"/>
      <c r="Q4391" s="19"/>
      <c r="R4391" s="19"/>
    </row>
    <row r="4392" spans="13:18">
      <c r="M4392" s="19"/>
      <c r="N4392" s="19"/>
      <c r="O4392" s="19"/>
      <c r="P4392" s="19"/>
      <c r="Q4392" s="19"/>
      <c r="R4392" s="19"/>
    </row>
    <row r="4393" spans="13:18">
      <c r="M4393" s="19"/>
      <c r="N4393" s="19"/>
      <c r="O4393" s="19"/>
      <c r="P4393" s="19"/>
      <c r="Q4393" s="19"/>
      <c r="R4393" s="19"/>
    </row>
    <row r="4394" spans="13:18">
      <c r="M4394" s="19"/>
      <c r="N4394" s="19"/>
      <c r="O4394" s="19"/>
      <c r="P4394" s="19"/>
      <c r="Q4394" s="19"/>
      <c r="R4394" s="19"/>
    </row>
    <row r="4395" spans="13:18">
      <c r="M4395" s="19"/>
      <c r="N4395" s="19"/>
      <c r="O4395" s="19"/>
      <c r="P4395" s="19"/>
      <c r="Q4395" s="19"/>
      <c r="R4395" s="19"/>
    </row>
    <row r="4396" spans="13:18">
      <c r="M4396" s="19"/>
      <c r="N4396" s="19"/>
      <c r="O4396" s="19"/>
      <c r="P4396" s="19"/>
      <c r="Q4396" s="19"/>
      <c r="R4396" s="19"/>
    </row>
    <row r="4397" spans="13:18">
      <c r="M4397" s="19"/>
      <c r="N4397" s="19"/>
      <c r="O4397" s="19"/>
      <c r="P4397" s="19"/>
      <c r="Q4397" s="19"/>
      <c r="R4397" s="19"/>
    </row>
    <row r="4398" spans="13:18">
      <c r="M4398" s="19"/>
      <c r="N4398" s="19"/>
      <c r="O4398" s="19"/>
      <c r="P4398" s="19"/>
      <c r="Q4398" s="19"/>
      <c r="R4398" s="19"/>
    </row>
    <row r="4399" spans="13:18">
      <c r="M4399" s="19"/>
      <c r="N4399" s="19"/>
      <c r="O4399" s="19"/>
      <c r="P4399" s="19"/>
      <c r="Q4399" s="19"/>
      <c r="R4399" s="19"/>
    </row>
    <row r="4400" spans="13:18">
      <c r="M4400" s="19"/>
      <c r="N4400" s="19"/>
      <c r="O4400" s="19"/>
      <c r="P4400" s="19"/>
      <c r="Q4400" s="19"/>
      <c r="R4400" s="19"/>
    </row>
    <row r="4401" spans="13:18">
      <c r="M4401" s="19"/>
      <c r="N4401" s="19"/>
      <c r="O4401" s="19"/>
      <c r="P4401" s="19"/>
      <c r="Q4401" s="19"/>
      <c r="R4401" s="19"/>
    </row>
    <row r="4402" spans="13:18">
      <c r="M4402" s="19"/>
      <c r="N4402" s="19"/>
      <c r="O4402" s="19"/>
      <c r="P4402" s="19"/>
      <c r="Q4402" s="19"/>
      <c r="R4402" s="19"/>
    </row>
    <row r="4403" spans="13:18">
      <c r="M4403" s="19"/>
      <c r="N4403" s="19"/>
      <c r="O4403" s="19"/>
      <c r="P4403" s="19"/>
      <c r="Q4403" s="19"/>
      <c r="R4403" s="19"/>
    </row>
    <row r="4404" spans="13:18">
      <c r="M4404" s="19"/>
      <c r="N4404" s="19"/>
      <c r="O4404" s="19"/>
      <c r="P4404" s="19"/>
      <c r="Q4404" s="19"/>
      <c r="R4404" s="19"/>
    </row>
    <row r="4405" spans="13:18">
      <c r="M4405" s="19"/>
      <c r="N4405" s="19"/>
      <c r="O4405" s="19"/>
      <c r="P4405" s="19"/>
      <c r="Q4405" s="19"/>
      <c r="R4405" s="19"/>
    </row>
    <row r="4406" spans="13:18">
      <c r="M4406" s="19"/>
      <c r="N4406" s="19"/>
      <c r="O4406" s="19"/>
      <c r="P4406" s="19"/>
      <c r="Q4406" s="19"/>
      <c r="R4406" s="19"/>
    </row>
    <row r="4407" spans="13:18">
      <c r="M4407" s="19"/>
      <c r="N4407" s="19"/>
      <c r="O4407" s="19"/>
      <c r="P4407" s="19"/>
      <c r="Q4407" s="19"/>
      <c r="R4407" s="19"/>
    </row>
    <row r="4408" spans="13:18">
      <c r="M4408" s="19"/>
      <c r="N4408" s="19"/>
      <c r="O4408" s="19"/>
      <c r="P4408" s="19"/>
      <c r="Q4408" s="19"/>
      <c r="R4408" s="19"/>
    </row>
    <row r="4409" spans="13:18">
      <c r="M4409" s="19"/>
      <c r="N4409" s="19"/>
      <c r="O4409" s="19"/>
      <c r="P4409" s="19"/>
      <c r="Q4409" s="19"/>
      <c r="R4409" s="19"/>
    </row>
    <row r="4410" spans="13:18">
      <c r="M4410" s="19"/>
      <c r="N4410" s="19"/>
      <c r="O4410" s="19"/>
      <c r="P4410" s="19"/>
      <c r="Q4410" s="19"/>
      <c r="R4410" s="19"/>
    </row>
    <row r="4411" spans="13:18">
      <c r="M4411" s="19"/>
      <c r="N4411" s="19"/>
      <c r="O4411" s="19"/>
      <c r="P4411" s="19"/>
      <c r="Q4411" s="19"/>
      <c r="R4411" s="19"/>
    </row>
    <row r="4412" spans="13:18">
      <c r="M4412" s="19"/>
      <c r="N4412" s="19"/>
      <c r="O4412" s="19"/>
      <c r="P4412" s="19"/>
      <c r="Q4412" s="19"/>
      <c r="R4412" s="19"/>
    </row>
    <row r="4413" spans="13:18">
      <c r="M4413" s="19"/>
      <c r="N4413" s="19"/>
      <c r="O4413" s="19"/>
      <c r="P4413" s="19"/>
      <c r="Q4413" s="19"/>
      <c r="R4413" s="19"/>
    </row>
    <row r="4414" spans="13:18">
      <c r="M4414" s="19"/>
      <c r="N4414" s="19"/>
      <c r="O4414" s="19"/>
      <c r="P4414" s="19"/>
      <c r="Q4414" s="19"/>
      <c r="R4414" s="19"/>
    </row>
    <row r="4415" spans="13:18">
      <c r="M4415" s="19"/>
      <c r="N4415" s="19"/>
      <c r="O4415" s="19"/>
      <c r="P4415" s="19"/>
      <c r="Q4415" s="19"/>
      <c r="R4415" s="19"/>
    </row>
    <row r="4416" spans="13:18">
      <c r="M4416" s="19"/>
      <c r="N4416" s="19"/>
      <c r="O4416" s="19"/>
      <c r="P4416" s="19"/>
      <c r="Q4416" s="19"/>
      <c r="R4416" s="19"/>
    </row>
    <row r="4417" spans="13:18">
      <c r="M4417" s="19"/>
      <c r="N4417" s="19"/>
      <c r="O4417" s="19"/>
      <c r="P4417" s="19"/>
      <c r="Q4417" s="19"/>
      <c r="R4417" s="19"/>
    </row>
    <row r="4418" spans="13:18">
      <c r="M4418" s="19"/>
      <c r="N4418" s="19"/>
      <c r="O4418" s="19"/>
      <c r="P4418" s="19"/>
      <c r="Q4418" s="19"/>
      <c r="R4418" s="19"/>
    </row>
    <row r="4419" spans="13:18">
      <c r="M4419" s="19"/>
      <c r="N4419" s="19"/>
      <c r="O4419" s="19"/>
      <c r="P4419" s="19"/>
      <c r="Q4419" s="19"/>
      <c r="R4419" s="19"/>
    </row>
    <row r="4420" spans="13:18">
      <c r="M4420" s="19"/>
      <c r="N4420" s="19"/>
      <c r="O4420" s="19"/>
      <c r="P4420" s="19"/>
      <c r="Q4420" s="19"/>
      <c r="R4420" s="19"/>
    </row>
    <row r="4421" spans="13:18">
      <c r="M4421" s="19"/>
      <c r="N4421" s="19"/>
      <c r="O4421" s="19"/>
      <c r="P4421" s="19"/>
      <c r="Q4421" s="19"/>
      <c r="R4421" s="19"/>
    </row>
    <row r="4422" spans="13:18">
      <c r="M4422" s="19"/>
      <c r="N4422" s="19"/>
      <c r="O4422" s="19"/>
      <c r="P4422" s="19"/>
      <c r="Q4422" s="19"/>
      <c r="R4422" s="19"/>
    </row>
    <row r="4423" spans="13:18">
      <c r="M4423" s="19"/>
      <c r="N4423" s="19"/>
      <c r="O4423" s="19"/>
      <c r="P4423" s="19"/>
      <c r="Q4423" s="19"/>
      <c r="R4423" s="19"/>
    </row>
    <row r="4424" spans="13:18">
      <c r="M4424" s="19"/>
      <c r="N4424" s="19"/>
      <c r="O4424" s="19"/>
      <c r="P4424" s="19"/>
      <c r="Q4424" s="19"/>
      <c r="R4424" s="19"/>
    </row>
    <row r="4425" spans="13:18">
      <c r="M4425" s="19"/>
      <c r="N4425" s="19"/>
      <c r="O4425" s="19"/>
      <c r="P4425" s="19"/>
      <c r="Q4425" s="19"/>
      <c r="R4425" s="19"/>
    </row>
    <row r="4426" spans="13:18">
      <c r="M4426" s="19"/>
      <c r="N4426" s="19"/>
      <c r="O4426" s="19"/>
      <c r="P4426" s="19"/>
      <c r="Q4426" s="19"/>
      <c r="R4426" s="19"/>
    </row>
    <row r="4427" spans="13:18">
      <c r="M4427" s="19"/>
      <c r="N4427" s="19"/>
      <c r="O4427" s="19"/>
      <c r="P4427" s="19"/>
      <c r="Q4427" s="19"/>
      <c r="R4427" s="19"/>
    </row>
    <row r="4428" spans="13:18">
      <c r="M4428" s="19"/>
      <c r="N4428" s="19"/>
      <c r="O4428" s="19"/>
      <c r="P4428" s="19"/>
      <c r="Q4428" s="19"/>
      <c r="R4428" s="19"/>
    </row>
    <row r="4429" spans="13:18">
      <c r="M4429" s="19"/>
      <c r="N4429" s="19"/>
      <c r="O4429" s="19"/>
      <c r="P4429" s="19"/>
      <c r="Q4429" s="19"/>
      <c r="R4429" s="19"/>
    </row>
    <row r="4430" spans="13:18">
      <c r="M4430" s="19"/>
      <c r="N4430" s="19"/>
      <c r="O4430" s="19"/>
      <c r="P4430" s="19"/>
      <c r="Q4430" s="19"/>
      <c r="R4430" s="19"/>
    </row>
    <row r="4431" spans="13:18">
      <c r="M4431" s="19"/>
      <c r="N4431" s="19"/>
      <c r="O4431" s="19"/>
      <c r="P4431" s="19"/>
      <c r="Q4431" s="19"/>
      <c r="R4431" s="19"/>
    </row>
    <row r="4432" spans="13:18">
      <c r="M4432" s="19"/>
      <c r="N4432" s="19"/>
      <c r="O4432" s="19"/>
      <c r="P4432" s="19"/>
      <c r="Q4432" s="19"/>
      <c r="R4432" s="19"/>
    </row>
    <row r="4433" spans="13:18">
      <c r="M4433" s="19"/>
      <c r="N4433" s="19"/>
      <c r="O4433" s="19"/>
      <c r="P4433" s="19"/>
      <c r="Q4433" s="19"/>
      <c r="R4433" s="19"/>
    </row>
    <row r="4434" spans="13:18">
      <c r="M4434" s="19"/>
      <c r="N4434" s="19"/>
      <c r="O4434" s="19"/>
      <c r="P4434" s="19"/>
      <c r="Q4434" s="19"/>
      <c r="R4434" s="19"/>
    </row>
    <row r="4435" spans="13:18">
      <c r="M4435" s="19"/>
      <c r="N4435" s="19"/>
      <c r="O4435" s="19"/>
      <c r="P4435" s="19"/>
      <c r="Q4435" s="19"/>
      <c r="R4435" s="19"/>
    </row>
    <row r="4436" spans="13:18">
      <c r="M4436" s="19"/>
      <c r="N4436" s="19"/>
      <c r="O4436" s="19"/>
      <c r="P4436" s="19"/>
      <c r="Q4436" s="19"/>
      <c r="R4436" s="19"/>
    </row>
    <row r="4437" spans="13:18">
      <c r="M4437" s="19"/>
      <c r="N4437" s="19"/>
      <c r="O4437" s="19"/>
      <c r="P4437" s="19"/>
      <c r="Q4437" s="19"/>
      <c r="R4437" s="19"/>
    </row>
    <row r="4438" spans="13:18">
      <c r="M4438" s="19"/>
      <c r="N4438" s="19"/>
      <c r="O4438" s="19"/>
      <c r="P4438" s="19"/>
      <c r="Q4438" s="19"/>
      <c r="R4438" s="19"/>
    </row>
    <row r="4439" spans="13:18">
      <c r="M4439" s="19"/>
      <c r="N4439" s="19"/>
      <c r="O4439" s="19"/>
      <c r="P4439" s="19"/>
      <c r="Q4439" s="19"/>
      <c r="R4439" s="19"/>
    </row>
    <row r="4440" spans="13:18">
      <c r="M4440" s="19"/>
      <c r="N4440" s="19"/>
      <c r="O4440" s="19"/>
      <c r="P4440" s="19"/>
      <c r="Q4440" s="19"/>
      <c r="R4440" s="19"/>
    </row>
    <row r="4441" spans="13:18">
      <c r="M4441" s="19"/>
      <c r="N4441" s="19"/>
      <c r="O4441" s="19"/>
      <c r="P4441" s="19"/>
      <c r="Q4441" s="19"/>
      <c r="R4441" s="19"/>
    </row>
    <row r="4442" spans="13:18">
      <c r="M4442" s="19"/>
      <c r="N4442" s="19"/>
      <c r="O4442" s="19"/>
      <c r="P4442" s="19"/>
      <c r="Q4442" s="19"/>
      <c r="R4442" s="19"/>
    </row>
    <row r="4443" spans="13:18">
      <c r="M4443" s="19"/>
      <c r="N4443" s="19"/>
      <c r="O4443" s="19"/>
      <c r="P4443" s="19"/>
      <c r="Q4443" s="19"/>
      <c r="R4443" s="19"/>
    </row>
    <row r="4444" spans="13:18">
      <c r="M4444" s="19"/>
      <c r="N4444" s="19"/>
      <c r="O4444" s="19"/>
      <c r="P4444" s="19"/>
      <c r="Q4444" s="19"/>
      <c r="R4444" s="19"/>
    </row>
    <row r="4445" spans="13:18">
      <c r="M4445" s="19"/>
      <c r="N4445" s="19"/>
      <c r="O4445" s="19"/>
      <c r="P4445" s="19"/>
      <c r="Q4445" s="19"/>
      <c r="R4445" s="19"/>
    </row>
    <row r="4446" spans="13:18">
      <c r="M4446" s="19"/>
      <c r="N4446" s="19"/>
      <c r="O4446" s="19"/>
      <c r="P4446" s="19"/>
      <c r="Q4446" s="19"/>
      <c r="R4446" s="19"/>
    </row>
    <row r="4447" spans="13:18">
      <c r="M4447" s="19"/>
      <c r="N4447" s="19"/>
      <c r="O4447" s="19"/>
      <c r="P4447" s="19"/>
      <c r="Q4447" s="19"/>
      <c r="R4447" s="19"/>
    </row>
    <row r="4448" spans="13:18">
      <c r="M4448" s="19"/>
      <c r="N4448" s="19"/>
      <c r="O4448" s="19"/>
      <c r="P4448" s="19"/>
      <c r="Q4448" s="19"/>
      <c r="R4448" s="19"/>
    </row>
    <row r="4449" spans="13:18">
      <c r="M4449" s="19"/>
      <c r="N4449" s="19"/>
      <c r="O4449" s="19"/>
      <c r="P4449" s="19"/>
      <c r="Q4449" s="19"/>
      <c r="R4449" s="19"/>
    </row>
    <row r="4450" spans="13:18">
      <c r="M4450" s="19"/>
      <c r="N4450" s="19"/>
      <c r="O4450" s="19"/>
      <c r="P4450" s="19"/>
      <c r="Q4450" s="19"/>
      <c r="R4450" s="19"/>
    </row>
    <row r="4451" spans="13:18">
      <c r="M4451" s="19"/>
      <c r="N4451" s="19"/>
      <c r="O4451" s="19"/>
      <c r="P4451" s="19"/>
      <c r="Q4451" s="19"/>
      <c r="R4451" s="19"/>
    </row>
    <row r="4452" spans="13:18">
      <c r="M4452" s="19"/>
      <c r="N4452" s="19"/>
      <c r="O4452" s="19"/>
      <c r="P4452" s="19"/>
      <c r="Q4452" s="19"/>
      <c r="R4452" s="19"/>
    </row>
    <row r="4453" spans="13:18">
      <c r="M4453" s="19"/>
      <c r="N4453" s="19"/>
      <c r="O4453" s="19"/>
      <c r="P4453" s="19"/>
      <c r="Q4453" s="19"/>
      <c r="R4453" s="19"/>
    </row>
    <row r="4454" spans="13:18">
      <c r="M4454" s="19"/>
      <c r="N4454" s="19"/>
      <c r="O4454" s="19"/>
      <c r="P4454" s="19"/>
      <c r="Q4454" s="19"/>
      <c r="R4454" s="19"/>
    </row>
    <row r="4455" spans="13:18">
      <c r="M4455" s="19"/>
      <c r="N4455" s="19"/>
      <c r="O4455" s="19"/>
      <c r="P4455" s="19"/>
      <c r="Q4455" s="19"/>
      <c r="R4455" s="19"/>
    </row>
    <row r="4456" spans="13:18">
      <c r="M4456" s="19"/>
      <c r="N4456" s="19"/>
      <c r="O4456" s="19"/>
      <c r="P4456" s="19"/>
      <c r="Q4456" s="19"/>
      <c r="R4456" s="19"/>
    </row>
    <row r="4457" spans="13:18">
      <c r="M4457" s="19"/>
      <c r="N4457" s="19"/>
      <c r="O4457" s="19"/>
      <c r="P4457" s="19"/>
      <c r="Q4457" s="19"/>
      <c r="R4457" s="19"/>
    </row>
    <row r="4458" spans="13:18">
      <c r="M4458" s="19"/>
      <c r="N4458" s="19"/>
      <c r="O4458" s="19"/>
      <c r="P4458" s="19"/>
      <c r="Q4458" s="19"/>
      <c r="R4458" s="19"/>
    </row>
    <row r="4459" spans="13:18">
      <c r="M4459" s="19"/>
      <c r="N4459" s="19"/>
      <c r="O4459" s="19"/>
      <c r="P4459" s="19"/>
      <c r="Q4459" s="19"/>
      <c r="R4459" s="19"/>
    </row>
    <row r="4460" spans="13:18">
      <c r="M4460" s="19"/>
      <c r="N4460" s="19"/>
      <c r="O4460" s="19"/>
      <c r="P4460" s="19"/>
      <c r="Q4460" s="19"/>
      <c r="R4460" s="19"/>
    </row>
    <row r="4461" spans="13:18">
      <c r="M4461" s="19"/>
      <c r="N4461" s="19"/>
      <c r="O4461" s="19"/>
      <c r="P4461" s="19"/>
      <c r="Q4461" s="19"/>
      <c r="R4461" s="19"/>
    </row>
    <row r="4462" spans="13:18">
      <c r="M4462" s="19"/>
      <c r="N4462" s="19"/>
      <c r="O4462" s="19"/>
      <c r="P4462" s="19"/>
      <c r="Q4462" s="19"/>
      <c r="R4462" s="19"/>
    </row>
    <row r="4463" spans="13:18">
      <c r="M4463" s="19"/>
      <c r="N4463" s="19"/>
      <c r="O4463" s="19"/>
      <c r="P4463" s="19"/>
      <c r="Q4463" s="19"/>
      <c r="R4463" s="19"/>
    </row>
    <row r="4464" spans="13:18">
      <c r="M4464" s="19"/>
      <c r="N4464" s="19"/>
      <c r="O4464" s="19"/>
      <c r="P4464" s="19"/>
      <c r="Q4464" s="19"/>
      <c r="R4464" s="19"/>
    </row>
    <row r="4465" spans="13:18">
      <c r="M4465" s="19"/>
      <c r="N4465" s="19"/>
      <c r="O4465" s="19"/>
      <c r="P4465" s="19"/>
      <c r="Q4465" s="19"/>
      <c r="R4465" s="19"/>
    </row>
    <row r="4466" spans="13:18">
      <c r="M4466" s="19"/>
      <c r="N4466" s="19"/>
      <c r="O4466" s="19"/>
      <c r="P4466" s="19"/>
      <c r="Q4466" s="19"/>
      <c r="R4466" s="19"/>
    </row>
    <row r="4467" spans="13:18">
      <c r="M4467" s="19"/>
      <c r="N4467" s="19"/>
      <c r="O4467" s="19"/>
      <c r="P4467" s="19"/>
      <c r="Q4467" s="19"/>
      <c r="R4467" s="19"/>
    </row>
    <row r="4468" spans="13:18">
      <c r="M4468" s="19"/>
      <c r="N4468" s="19"/>
      <c r="O4468" s="19"/>
      <c r="P4468" s="19"/>
      <c r="Q4468" s="19"/>
      <c r="R4468" s="19"/>
    </row>
    <row r="4469" spans="13:18">
      <c r="M4469" s="19"/>
      <c r="N4469" s="19"/>
      <c r="O4469" s="19"/>
      <c r="P4469" s="19"/>
      <c r="Q4469" s="19"/>
      <c r="R4469" s="19"/>
    </row>
    <row r="4470" spans="13:18">
      <c r="M4470" s="19"/>
      <c r="N4470" s="19"/>
      <c r="O4470" s="19"/>
      <c r="P4470" s="19"/>
      <c r="Q4470" s="19"/>
      <c r="R4470" s="19"/>
    </row>
    <row r="4471" spans="13:18">
      <c r="M4471" s="19"/>
      <c r="N4471" s="19"/>
      <c r="O4471" s="19"/>
      <c r="P4471" s="19"/>
      <c r="Q4471" s="19"/>
      <c r="R4471" s="19"/>
    </row>
    <row r="4472" spans="13:18">
      <c r="M4472" s="19"/>
      <c r="N4472" s="19"/>
      <c r="O4472" s="19"/>
      <c r="P4472" s="19"/>
      <c r="Q4472" s="19"/>
      <c r="R4472" s="19"/>
    </row>
    <row r="4473" spans="13:18">
      <c r="M4473" s="19"/>
      <c r="N4473" s="19"/>
      <c r="O4473" s="19"/>
      <c r="P4473" s="19"/>
      <c r="Q4473" s="19"/>
      <c r="R4473" s="19"/>
    </row>
    <row r="4474" spans="13:18">
      <c r="M4474" s="19"/>
      <c r="N4474" s="19"/>
      <c r="O4474" s="19"/>
      <c r="P4474" s="19"/>
      <c r="Q4474" s="19"/>
      <c r="R4474" s="19"/>
    </row>
    <row r="4475" spans="13:18">
      <c r="M4475" s="19"/>
      <c r="N4475" s="19"/>
      <c r="O4475" s="19"/>
      <c r="P4475" s="19"/>
      <c r="Q4475" s="19"/>
      <c r="R4475" s="19"/>
    </row>
    <row r="4476" spans="13:18">
      <c r="M4476" s="19"/>
      <c r="N4476" s="19"/>
      <c r="O4476" s="19"/>
      <c r="P4476" s="19"/>
      <c r="Q4476" s="19"/>
      <c r="R4476" s="19"/>
    </row>
    <row r="4477" spans="13:18">
      <c r="M4477" s="19"/>
      <c r="N4477" s="19"/>
      <c r="O4477" s="19"/>
      <c r="P4477" s="19"/>
      <c r="Q4477" s="19"/>
      <c r="R4477" s="19"/>
    </row>
    <row r="4478" spans="13:18">
      <c r="M4478" s="19"/>
      <c r="N4478" s="19"/>
      <c r="O4478" s="19"/>
      <c r="P4478" s="19"/>
      <c r="Q4478" s="19"/>
      <c r="R4478" s="19"/>
    </row>
    <row r="4479" spans="13:18">
      <c r="M4479" s="19"/>
      <c r="N4479" s="19"/>
      <c r="O4479" s="19"/>
      <c r="P4479" s="19"/>
      <c r="Q4479" s="19"/>
      <c r="R4479" s="19"/>
    </row>
    <row r="4480" spans="13:18">
      <c r="M4480" s="19"/>
      <c r="N4480" s="19"/>
      <c r="O4480" s="19"/>
      <c r="P4480" s="19"/>
      <c r="Q4480" s="19"/>
      <c r="R4480" s="19"/>
    </row>
    <row r="4481" spans="13:18">
      <c r="M4481" s="19"/>
      <c r="N4481" s="19"/>
      <c r="O4481" s="19"/>
      <c r="P4481" s="19"/>
      <c r="Q4481" s="19"/>
      <c r="R4481" s="19"/>
    </row>
    <row r="4482" spans="13:18">
      <c r="M4482" s="19"/>
      <c r="N4482" s="19"/>
      <c r="O4482" s="19"/>
      <c r="P4482" s="19"/>
      <c r="Q4482" s="19"/>
      <c r="R4482" s="19"/>
    </row>
    <row r="4483" spans="13:18">
      <c r="M4483" s="19"/>
      <c r="N4483" s="19"/>
      <c r="O4483" s="19"/>
      <c r="P4483" s="19"/>
      <c r="Q4483" s="19"/>
      <c r="R4483" s="19"/>
    </row>
    <row r="4484" spans="13:18">
      <c r="M4484" s="19"/>
      <c r="N4484" s="19"/>
      <c r="O4484" s="19"/>
      <c r="P4484" s="19"/>
      <c r="Q4484" s="19"/>
      <c r="R4484" s="19"/>
    </row>
    <row r="4485" spans="13:18">
      <c r="M4485" s="19"/>
      <c r="N4485" s="19"/>
      <c r="O4485" s="19"/>
      <c r="P4485" s="19"/>
      <c r="Q4485" s="19"/>
      <c r="R4485" s="19"/>
    </row>
    <row r="4486" spans="13:18">
      <c r="M4486" s="19"/>
      <c r="N4486" s="19"/>
      <c r="O4486" s="19"/>
      <c r="P4486" s="19"/>
      <c r="Q4486" s="19"/>
      <c r="R4486" s="19"/>
    </row>
    <row r="4487" spans="13:18">
      <c r="M4487" s="19"/>
      <c r="N4487" s="19"/>
      <c r="O4487" s="19"/>
      <c r="P4487" s="19"/>
      <c r="Q4487" s="19"/>
      <c r="R4487" s="19"/>
    </row>
    <row r="4488" spans="13:18">
      <c r="M4488" s="19"/>
      <c r="N4488" s="19"/>
      <c r="O4488" s="19"/>
      <c r="P4488" s="19"/>
      <c r="Q4488" s="19"/>
      <c r="R4488" s="19"/>
    </row>
    <row r="4489" spans="13:18">
      <c r="M4489" s="19"/>
      <c r="N4489" s="19"/>
      <c r="O4489" s="19"/>
      <c r="P4489" s="19"/>
      <c r="Q4489" s="19"/>
      <c r="R4489" s="19"/>
    </row>
    <row r="4490" spans="13:18">
      <c r="M4490" s="19"/>
      <c r="N4490" s="19"/>
      <c r="O4490" s="19"/>
      <c r="P4490" s="19"/>
      <c r="Q4490" s="19"/>
      <c r="R4490" s="19"/>
    </row>
    <row r="4491" spans="13:18">
      <c r="M4491" s="19"/>
      <c r="N4491" s="19"/>
      <c r="O4491" s="19"/>
      <c r="P4491" s="19"/>
      <c r="Q4491" s="19"/>
      <c r="R4491" s="19"/>
    </row>
    <row r="4492" spans="13:18">
      <c r="M4492" s="19"/>
      <c r="N4492" s="19"/>
      <c r="O4492" s="19"/>
      <c r="P4492" s="19"/>
      <c r="Q4492" s="19"/>
      <c r="R4492" s="19"/>
    </row>
    <row r="4493" spans="13:18">
      <c r="M4493" s="19"/>
      <c r="N4493" s="19"/>
      <c r="O4493" s="19"/>
      <c r="P4493" s="19"/>
      <c r="Q4493" s="19"/>
      <c r="R4493" s="19"/>
    </row>
    <row r="4494" spans="13:18">
      <c r="M4494" s="19"/>
      <c r="N4494" s="19"/>
      <c r="O4494" s="19"/>
      <c r="P4494" s="19"/>
      <c r="Q4494" s="19"/>
      <c r="R4494" s="19"/>
    </row>
    <row r="4495" spans="13:18">
      <c r="M4495" s="19"/>
      <c r="N4495" s="19"/>
      <c r="O4495" s="19"/>
      <c r="P4495" s="19"/>
      <c r="Q4495" s="19"/>
      <c r="R4495" s="19"/>
    </row>
    <row r="4496" spans="13:18">
      <c r="M4496" s="19"/>
      <c r="N4496" s="19"/>
      <c r="O4496" s="19"/>
      <c r="P4496" s="19"/>
      <c r="Q4496" s="19"/>
      <c r="R4496" s="19"/>
    </row>
    <row r="4497" spans="13:18">
      <c r="M4497" s="19"/>
      <c r="N4497" s="19"/>
      <c r="O4497" s="19"/>
      <c r="P4497" s="19"/>
      <c r="Q4497" s="19"/>
      <c r="R4497" s="19"/>
    </row>
    <row r="4498" spans="13:18">
      <c r="M4498" s="19"/>
      <c r="N4498" s="19"/>
      <c r="O4498" s="19"/>
      <c r="P4498" s="19"/>
      <c r="Q4498" s="19"/>
      <c r="R4498" s="19"/>
    </row>
    <row r="4499" spans="13:18">
      <c r="M4499" s="19"/>
      <c r="N4499" s="19"/>
      <c r="O4499" s="19"/>
      <c r="P4499" s="19"/>
      <c r="Q4499" s="19"/>
      <c r="R4499" s="19"/>
    </row>
    <row r="4500" spans="13:18">
      <c r="M4500" s="19"/>
      <c r="N4500" s="19"/>
      <c r="O4500" s="19"/>
      <c r="P4500" s="19"/>
      <c r="Q4500" s="19"/>
      <c r="R4500" s="19"/>
    </row>
    <row r="4501" spans="13:18">
      <c r="M4501" s="19"/>
      <c r="N4501" s="19"/>
      <c r="O4501" s="19"/>
      <c r="P4501" s="19"/>
      <c r="Q4501" s="19"/>
      <c r="R4501" s="19"/>
    </row>
    <row r="4502" spans="13:18">
      <c r="M4502" s="19"/>
      <c r="N4502" s="19"/>
      <c r="O4502" s="19"/>
      <c r="P4502" s="19"/>
      <c r="Q4502" s="19"/>
      <c r="R4502" s="19"/>
    </row>
    <row r="4503" spans="13:18">
      <c r="M4503" s="19"/>
      <c r="N4503" s="19"/>
      <c r="O4503" s="19"/>
      <c r="P4503" s="19"/>
      <c r="Q4503" s="19"/>
      <c r="R4503" s="19"/>
    </row>
    <row r="4504" spans="13:18">
      <c r="M4504" s="19"/>
      <c r="N4504" s="19"/>
      <c r="O4504" s="19"/>
      <c r="P4504" s="19"/>
      <c r="Q4504" s="19"/>
      <c r="R4504" s="19"/>
    </row>
    <row r="4505" spans="13:18">
      <c r="M4505" s="19"/>
      <c r="N4505" s="19"/>
      <c r="O4505" s="19"/>
      <c r="P4505" s="19"/>
      <c r="Q4505" s="19"/>
      <c r="R4505" s="19"/>
    </row>
    <row r="4506" spans="13:18">
      <c r="M4506" s="19"/>
      <c r="N4506" s="19"/>
      <c r="O4506" s="19"/>
      <c r="P4506" s="19"/>
      <c r="Q4506" s="19"/>
      <c r="R4506" s="19"/>
    </row>
    <row r="4507" spans="13:18">
      <c r="M4507" s="19"/>
      <c r="N4507" s="19"/>
      <c r="O4507" s="19"/>
      <c r="P4507" s="19"/>
      <c r="Q4507" s="19"/>
      <c r="R4507" s="19"/>
    </row>
    <row r="4508" spans="13:18">
      <c r="M4508" s="19"/>
      <c r="N4508" s="19"/>
      <c r="O4508" s="19"/>
      <c r="P4508" s="19"/>
      <c r="Q4508" s="19"/>
      <c r="R4508" s="19"/>
    </row>
    <row r="4509" spans="13:18">
      <c r="M4509" s="19"/>
      <c r="N4509" s="19"/>
      <c r="O4509" s="19"/>
      <c r="P4509" s="19"/>
      <c r="Q4509" s="19"/>
      <c r="R4509" s="19"/>
    </row>
    <row r="4510" spans="13:18">
      <c r="M4510" s="19"/>
      <c r="N4510" s="19"/>
      <c r="O4510" s="19"/>
      <c r="P4510" s="19"/>
      <c r="Q4510" s="19"/>
      <c r="R4510" s="19"/>
    </row>
    <row r="4511" spans="13:18">
      <c r="M4511" s="19"/>
      <c r="N4511" s="19"/>
      <c r="O4511" s="19"/>
      <c r="P4511" s="19"/>
      <c r="Q4511" s="19"/>
      <c r="R4511" s="19"/>
    </row>
    <row r="4512" spans="13:18">
      <c r="M4512" s="19"/>
      <c r="N4512" s="19"/>
      <c r="O4512" s="19"/>
      <c r="P4512" s="19"/>
      <c r="Q4512" s="19"/>
      <c r="R4512" s="19"/>
    </row>
    <row r="4513" spans="13:18">
      <c r="M4513" s="19"/>
      <c r="N4513" s="19"/>
      <c r="O4513" s="19"/>
      <c r="P4513" s="19"/>
      <c r="Q4513" s="19"/>
      <c r="R4513" s="19"/>
    </row>
    <row r="4514" spans="13:18">
      <c r="M4514" s="19"/>
      <c r="N4514" s="19"/>
      <c r="O4514" s="19"/>
      <c r="P4514" s="19"/>
      <c r="Q4514" s="19"/>
      <c r="R4514" s="19"/>
    </row>
    <row r="4515" spans="13:18">
      <c r="M4515" s="19"/>
      <c r="N4515" s="19"/>
      <c r="O4515" s="19"/>
      <c r="P4515" s="19"/>
      <c r="Q4515" s="19"/>
      <c r="R4515" s="19"/>
    </row>
    <row r="4516" spans="13:18">
      <c r="M4516" s="19"/>
      <c r="N4516" s="19"/>
      <c r="O4516" s="19"/>
      <c r="P4516" s="19"/>
      <c r="Q4516" s="19"/>
      <c r="R4516" s="19"/>
    </row>
    <row r="4517" spans="13:18">
      <c r="M4517" s="19"/>
      <c r="N4517" s="19"/>
      <c r="O4517" s="19"/>
      <c r="P4517" s="19"/>
      <c r="Q4517" s="19"/>
      <c r="R4517" s="19"/>
    </row>
    <row r="4518" spans="13:18">
      <c r="M4518" s="19"/>
      <c r="N4518" s="19"/>
      <c r="O4518" s="19"/>
      <c r="P4518" s="19"/>
      <c r="Q4518" s="19"/>
      <c r="R4518" s="19"/>
    </row>
    <row r="4519" spans="13:18">
      <c r="M4519" s="19"/>
      <c r="N4519" s="19"/>
      <c r="O4519" s="19"/>
      <c r="P4519" s="19"/>
      <c r="Q4519" s="19"/>
      <c r="R4519" s="19"/>
    </row>
    <row r="4520" spans="13:18">
      <c r="M4520" s="19"/>
      <c r="N4520" s="19"/>
      <c r="O4520" s="19"/>
      <c r="P4520" s="19"/>
      <c r="Q4520" s="19"/>
      <c r="R4520" s="19"/>
    </row>
    <row r="4521" spans="13:18">
      <c r="M4521" s="19"/>
      <c r="N4521" s="19"/>
      <c r="O4521" s="19"/>
      <c r="P4521" s="19"/>
      <c r="Q4521" s="19"/>
      <c r="R4521" s="19"/>
    </row>
    <row r="4522" spans="13:18">
      <c r="M4522" s="19"/>
      <c r="N4522" s="19"/>
      <c r="O4522" s="19"/>
      <c r="P4522" s="19"/>
      <c r="Q4522" s="19"/>
      <c r="R4522" s="19"/>
    </row>
    <row r="4523" spans="13:18">
      <c r="M4523" s="19"/>
      <c r="N4523" s="19"/>
      <c r="O4523" s="19"/>
      <c r="P4523" s="19"/>
      <c r="Q4523" s="19"/>
      <c r="R4523" s="19"/>
    </row>
    <row r="4524" spans="13:18">
      <c r="M4524" s="19"/>
      <c r="N4524" s="19"/>
      <c r="O4524" s="19"/>
      <c r="P4524" s="19"/>
      <c r="Q4524" s="19"/>
      <c r="R4524" s="19"/>
    </row>
    <row r="4525" spans="13:18">
      <c r="M4525" s="19"/>
      <c r="N4525" s="19"/>
      <c r="O4525" s="19"/>
      <c r="P4525" s="19"/>
      <c r="Q4525" s="19"/>
      <c r="R4525" s="19"/>
    </row>
    <row r="4526" spans="13:18">
      <c r="M4526" s="19"/>
      <c r="N4526" s="19"/>
      <c r="O4526" s="19"/>
      <c r="P4526" s="19"/>
      <c r="Q4526" s="19"/>
      <c r="R4526" s="19"/>
    </row>
    <row r="4527" spans="13:18">
      <c r="M4527" s="19"/>
      <c r="N4527" s="19"/>
      <c r="O4527" s="19"/>
      <c r="P4527" s="19"/>
      <c r="Q4527" s="19"/>
      <c r="R4527" s="19"/>
    </row>
    <row r="4528" spans="13:18">
      <c r="M4528" s="19"/>
      <c r="N4528" s="19"/>
      <c r="O4528" s="19"/>
      <c r="P4528" s="19"/>
      <c r="Q4528" s="19"/>
      <c r="R4528" s="19"/>
    </row>
    <row r="4529" spans="13:18">
      <c r="M4529" s="19"/>
      <c r="N4529" s="19"/>
      <c r="O4529" s="19"/>
      <c r="P4529" s="19"/>
      <c r="Q4529" s="19"/>
      <c r="R4529" s="19"/>
    </row>
    <row r="4530" spans="13:18">
      <c r="M4530" s="19"/>
      <c r="N4530" s="19"/>
      <c r="O4530" s="19"/>
      <c r="P4530" s="19"/>
      <c r="Q4530" s="19"/>
      <c r="R4530" s="19"/>
    </row>
    <row r="4531" spans="13:18">
      <c r="M4531" s="19"/>
      <c r="N4531" s="19"/>
      <c r="O4531" s="19"/>
      <c r="P4531" s="19"/>
      <c r="Q4531" s="19"/>
      <c r="R4531" s="19"/>
    </row>
    <row r="4532" spans="13:18">
      <c r="M4532" s="19"/>
      <c r="N4532" s="19"/>
      <c r="O4532" s="19"/>
      <c r="P4532" s="19"/>
      <c r="Q4532" s="19"/>
      <c r="R4532" s="19"/>
    </row>
    <row r="4533" spans="13:18">
      <c r="M4533" s="19"/>
      <c r="N4533" s="19"/>
      <c r="O4533" s="19"/>
      <c r="P4533" s="19"/>
      <c r="Q4533" s="19"/>
      <c r="R4533" s="19"/>
    </row>
    <row r="4534" spans="13:18">
      <c r="M4534" s="19"/>
      <c r="N4534" s="19"/>
      <c r="O4534" s="19"/>
      <c r="P4534" s="19"/>
      <c r="Q4534" s="19"/>
      <c r="R4534" s="19"/>
    </row>
    <row r="4535" spans="13:18">
      <c r="M4535" s="19"/>
      <c r="N4535" s="19"/>
      <c r="O4535" s="19"/>
      <c r="P4535" s="19"/>
      <c r="Q4535" s="19"/>
      <c r="R4535" s="19"/>
    </row>
    <row r="4536" spans="13:18">
      <c r="M4536" s="19"/>
      <c r="N4536" s="19"/>
      <c r="O4536" s="19"/>
      <c r="P4536" s="19"/>
      <c r="Q4536" s="19"/>
      <c r="R4536" s="19"/>
    </row>
    <row r="4537" spans="13:18">
      <c r="M4537" s="19"/>
      <c r="N4537" s="19"/>
      <c r="O4537" s="19"/>
      <c r="P4537" s="19"/>
      <c r="Q4537" s="19"/>
      <c r="R4537" s="19"/>
    </row>
    <row r="4538" spans="13:18">
      <c r="M4538" s="19"/>
      <c r="N4538" s="19"/>
      <c r="O4538" s="19"/>
      <c r="P4538" s="19"/>
      <c r="Q4538" s="19"/>
      <c r="R4538" s="19"/>
    </row>
    <row r="4539" spans="13:18">
      <c r="M4539" s="19"/>
      <c r="N4539" s="19"/>
      <c r="O4539" s="19"/>
      <c r="P4539" s="19"/>
      <c r="Q4539" s="19"/>
      <c r="R4539" s="19"/>
    </row>
    <row r="4540" spans="13:18">
      <c r="M4540" s="19"/>
      <c r="N4540" s="19"/>
      <c r="O4540" s="19"/>
      <c r="P4540" s="19"/>
      <c r="Q4540" s="19"/>
      <c r="R4540" s="19"/>
    </row>
    <row r="4541" spans="13:18">
      <c r="M4541" s="19"/>
      <c r="N4541" s="19"/>
      <c r="O4541" s="19"/>
      <c r="P4541" s="19"/>
      <c r="Q4541" s="19"/>
      <c r="R4541" s="19"/>
    </row>
    <row r="4542" spans="13:18">
      <c r="M4542" s="19"/>
      <c r="N4542" s="19"/>
      <c r="O4542" s="19"/>
      <c r="P4542" s="19"/>
      <c r="Q4542" s="19"/>
      <c r="R4542" s="19"/>
    </row>
    <row r="4543" spans="13:18">
      <c r="M4543" s="19"/>
      <c r="N4543" s="19"/>
      <c r="O4543" s="19"/>
      <c r="P4543" s="19"/>
      <c r="Q4543" s="19"/>
      <c r="R4543" s="19"/>
    </row>
    <row r="4544" spans="13:18">
      <c r="M4544" s="19"/>
      <c r="N4544" s="19"/>
      <c r="O4544" s="19"/>
      <c r="P4544" s="19"/>
      <c r="Q4544" s="19"/>
      <c r="R4544" s="19"/>
    </row>
    <row r="4545" spans="13:18">
      <c r="M4545" s="19"/>
      <c r="N4545" s="19"/>
      <c r="O4545" s="19"/>
      <c r="P4545" s="19"/>
      <c r="Q4545" s="19"/>
      <c r="R4545" s="19"/>
    </row>
    <row r="4546" spans="13:18">
      <c r="M4546" s="19"/>
      <c r="N4546" s="19"/>
      <c r="O4546" s="19"/>
      <c r="P4546" s="19"/>
      <c r="Q4546" s="19"/>
      <c r="R4546" s="19"/>
    </row>
    <row r="4547" spans="13:18">
      <c r="M4547" s="19"/>
      <c r="N4547" s="19"/>
      <c r="O4547" s="19"/>
      <c r="P4547" s="19"/>
      <c r="Q4547" s="19"/>
      <c r="R4547" s="19"/>
    </row>
    <row r="4548" spans="13:18">
      <c r="M4548" s="19"/>
      <c r="N4548" s="19"/>
      <c r="O4548" s="19"/>
      <c r="P4548" s="19"/>
      <c r="Q4548" s="19"/>
      <c r="R4548" s="19"/>
    </row>
    <row r="4549" spans="13:18">
      <c r="M4549" s="19"/>
      <c r="N4549" s="19"/>
      <c r="O4549" s="19"/>
      <c r="P4549" s="19"/>
      <c r="Q4549" s="19"/>
      <c r="R4549" s="19"/>
    </row>
    <row r="4550" spans="13:18">
      <c r="M4550" s="19"/>
      <c r="N4550" s="19"/>
      <c r="O4550" s="19"/>
      <c r="P4550" s="19"/>
      <c r="Q4550" s="19"/>
      <c r="R4550" s="19"/>
    </row>
    <row r="4551" spans="13:18">
      <c r="M4551" s="19"/>
      <c r="N4551" s="19"/>
      <c r="O4551" s="19"/>
      <c r="P4551" s="19"/>
      <c r="Q4551" s="19"/>
      <c r="R4551" s="19"/>
    </row>
    <row r="4552" spans="13:18">
      <c r="M4552" s="19"/>
      <c r="N4552" s="19"/>
      <c r="O4552" s="19"/>
      <c r="P4552" s="19"/>
      <c r="Q4552" s="19"/>
      <c r="R4552" s="19"/>
    </row>
    <row r="4553" spans="13:18">
      <c r="M4553" s="19"/>
      <c r="N4553" s="19"/>
      <c r="O4553" s="19"/>
      <c r="P4553" s="19"/>
      <c r="Q4553" s="19"/>
      <c r="R4553" s="19"/>
    </row>
    <row r="4554" spans="13:18">
      <c r="M4554" s="19"/>
      <c r="N4554" s="19"/>
      <c r="O4554" s="19"/>
      <c r="P4554" s="19"/>
      <c r="Q4554" s="19"/>
      <c r="R4554" s="19"/>
    </row>
    <row r="4555" spans="13:18">
      <c r="M4555" s="19"/>
      <c r="N4555" s="19"/>
      <c r="O4555" s="19"/>
      <c r="P4555" s="19"/>
      <c r="Q4555" s="19"/>
      <c r="R4555" s="19"/>
    </row>
    <row r="4556" spans="13:18">
      <c r="M4556" s="19"/>
      <c r="N4556" s="19"/>
      <c r="O4556" s="19"/>
      <c r="P4556" s="19"/>
      <c r="Q4556" s="19"/>
      <c r="R4556" s="19"/>
    </row>
    <row r="4557" spans="13:18">
      <c r="M4557" s="19"/>
      <c r="N4557" s="19"/>
      <c r="O4557" s="19"/>
      <c r="P4557" s="19"/>
      <c r="Q4557" s="19"/>
      <c r="R4557" s="19"/>
    </row>
    <row r="4558" spans="13:18">
      <c r="M4558" s="19"/>
      <c r="N4558" s="19"/>
      <c r="O4558" s="19"/>
      <c r="P4558" s="19"/>
      <c r="Q4558" s="19"/>
      <c r="R4558" s="19"/>
    </row>
    <row r="4559" spans="13:18">
      <c r="M4559" s="19"/>
      <c r="N4559" s="19"/>
      <c r="O4559" s="19"/>
      <c r="P4559" s="19"/>
      <c r="Q4559" s="19"/>
      <c r="R4559" s="19"/>
    </row>
    <row r="4560" spans="13:18">
      <c r="M4560" s="19"/>
      <c r="N4560" s="19"/>
      <c r="O4560" s="19"/>
      <c r="P4560" s="19"/>
      <c r="Q4560" s="19"/>
      <c r="R4560" s="19"/>
    </row>
    <row r="4561" spans="13:18">
      <c r="M4561" s="19"/>
      <c r="N4561" s="19"/>
      <c r="O4561" s="19"/>
      <c r="P4561" s="19"/>
      <c r="Q4561" s="19"/>
      <c r="R4561" s="19"/>
    </row>
    <row r="4562" spans="13:18">
      <c r="M4562" s="19"/>
      <c r="N4562" s="19"/>
      <c r="O4562" s="19"/>
      <c r="P4562" s="19"/>
      <c r="Q4562" s="19"/>
      <c r="R4562" s="19"/>
    </row>
    <row r="4563" spans="13:18">
      <c r="M4563" s="19"/>
      <c r="N4563" s="19"/>
      <c r="O4563" s="19"/>
      <c r="P4563" s="19"/>
      <c r="Q4563" s="19"/>
      <c r="R4563" s="19"/>
    </row>
    <row r="4564" spans="13:18">
      <c r="M4564" s="19"/>
      <c r="N4564" s="19"/>
      <c r="O4564" s="19"/>
      <c r="P4564" s="19"/>
      <c r="Q4564" s="19"/>
      <c r="R4564" s="19"/>
    </row>
    <row r="4565" spans="13:18">
      <c r="M4565" s="19"/>
      <c r="N4565" s="19"/>
      <c r="O4565" s="19"/>
      <c r="P4565" s="19"/>
      <c r="Q4565" s="19"/>
      <c r="R4565" s="19"/>
    </row>
    <row r="4566" spans="13:18">
      <c r="M4566" s="19"/>
      <c r="N4566" s="19"/>
      <c r="O4566" s="19"/>
      <c r="P4566" s="19"/>
      <c r="Q4566" s="19"/>
      <c r="R4566" s="19"/>
    </row>
    <row r="4567" spans="13:18">
      <c r="M4567" s="19"/>
      <c r="N4567" s="19"/>
      <c r="O4567" s="19"/>
      <c r="P4567" s="19"/>
      <c r="Q4567" s="19"/>
      <c r="R4567" s="19"/>
    </row>
    <row r="4568" spans="13:18">
      <c r="M4568" s="19"/>
      <c r="N4568" s="19"/>
      <c r="O4568" s="19"/>
      <c r="P4568" s="19"/>
      <c r="Q4568" s="19"/>
      <c r="R4568" s="19"/>
    </row>
    <row r="4569" spans="13:18">
      <c r="M4569" s="19"/>
      <c r="N4569" s="19"/>
      <c r="O4569" s="19"/>
      <c r="P4569" s="19"/>
      <c r="Q4569" s="19"/>
      <c r="R4569" s="19"/>
    </row>
    <row r="4570" spans="13:18">
      <c r="M4570" s="19"/>
      <c r="N4570" s="19"/>
      <c r="O4570" s="19"/>
      <c r="P4570" s="19"/>
      <c r="Q4570" s="19"/>
      <c r="R4570" s="19"/>
    </row>
    <row r="4571" spans="13:18">
      <c r="M4571" s="19"/>
      <c r="N4571" s="19"/>
      <c r="O4571" s="19"/>
      <c r="P4571" s="19"/>
      <c r="Q4571" s="19"/>
      <c r="R4571" s="19"/>
    </row>
    <row r="4572" spans="13:18">
      <c r="M4572" s="19"/>
      <c r="N4572" s="19"/>
      <c r="O4572" s="19"/>
      <c r="P4572" s="19"/>
      <c r="Q4572" s="19"/>
      <c r="R4572" s="19"/>
    </row>
    <row r="4573" spans="13:18">
      <c r="M4573" s="19"/>
      <c r="N4573" s="19"/>
      <c r="O4573" s="19"/>
      <c r="P4573" s="19"/>
      <c r="Q4573" s="19"/>
      <c r="R4573" s="19"/>
    </row>
    <row r="4574" spans="13:18">
      <c r="M4574" s="19"/>
      <c r="N4574" s="19"/>
      <c r="O4574" s="19"/>
      <c r="P4574" s="19"/>
      <c r="Q4574" s="19"/>
      <c r="R4574" s="19"/>
    </row>
    <row r="4575" spans="13:18">
      <c r="M4575" s="19"/>
      <c r="N4575" s="19"/>
      <c r="O4575" s="19"/>
      <c r="P4575" s="19"/>
      <c r="Q4575" s="19"/>
      <c r="R4575" s="19"/>
    </row>
    <row r="4576" spans="13:18">
      <c r="M4576" s="19"/>
      <c r="N4576" s="19"/>
      <c r="O4576" s="19"/>
      <c r="P4576" s="19"/>
      <c r="Q4576" s="19"/>
      <c r="R4576" s="19"/>
    </row>
    <row r="4577" spans="13:18">
      <c r="M4577" s="19"/>
      <c r="N4577" s="19"/>
      <c r="O4577" s="19"/>
      <c r="P4577" s="19"/>
      <c r="Q4577" s="19"/>
      <c r="R4577" s="19"/>
    </row>
    <row r="4578" spans="13:18">
      <c r="M4578" s="19"/>
      <c r="N4578" s="19"/>
      <c r="O4578" s="19"/>
      <c r="P4578" s="19"/>
      <c r="Q4578" s="19"/>
      <c r="R4578" s="19"/>
    </row>
    <row r="4579" spans="13:18">
      <c r="M4579" s="19"/>
      <c r="N4579" s="19"/>
      <c r="O4579" s="19"/>
      <c r="P4579" s="19"/>
      <c r="Q4579" s="19"/>
      <c r="R4579" s="19"/>
    </row>
    <row r="4580" spans="13:18">
      <c r="M4580" s="19"/>
      <c r="N4580" s="19"/>
      <c r="O4580" s="19"/>
      <c r="P4580" s="19"/>
      <c r="Q4580" s="19"/>
      <c r="R4580" s="19"/>
    </row>
    <row r="4581" spans="13:18">
      <c r="M4581" s="19"/>
      <c r="N4581" s="19"/>
      <c r="O4581" s="19"/>
      <c r="P4581" s="19"/>
      <c r="Q4581" s="19"/>
      <c r="R4581" s="19"/>
    </row>
    <row r="4582" spans="13:18">
      <c r="M4582" s="19"/>
      <c r="N4582" s="19"/>
      <c r="O4582" s="19"/>
      <c r="P4582" s="19"/>
      <c r="Q4582" s="19"/>
      <c r="R4582" s="19"/>
    </row>
    <row r="4583" spans="13:18">
      <c r="M4583" s="19"/>
      <c r="N4583" s="19"/>
      <c r="O4583" s="19"/>
      <c r="P4583" s="19"/>
      <c r="Q4583" s="19"/>
      <c r="R4583" s="19"/>
    </row>
    <row r="4584" spans="13:18">
      <c r="M4584" s="19"/>
      <c r="N4584" s="19"/>
      <c r="O4584" s="19"/>
      <c r="P4584" s="19"/>
      <c r="Q4584" s="19"/>
      <c r="R4584" s="19"/>
    </row>
    <row r="4585" spans="13:18">
      <c r="M4585" s="19"/>
      <c r="N4585" s="19"/>
      <c r="O4585" s="19"/>
      <c r="P4585" s="19"/>
      <c r="Q4585" s="19"/>
      <c r="R4585" s="19"/>
    </row>
    <row r="4586" spans="13:18">
      <c r="M4586" s="19"/>
      <c r="N4586" s="19"/>
      <c r="O4586" s="19"/>
      <c r="P4586" s="19"/>
      <c r="Q4586" s="19"/>
      <c r="R4586" s="19"/>
    </row>
    <row r="4587" spans="13:18">
      <c r="M4587" s="19"/>
      <c r="N4587" s="19"/>
      <c r="O4587" s="19"/>
      <c r="P4587" s="19"/>
      <c r="Q4587" s="19"/>
      <c r="R4587" s="19"/>
    </row>
    <row r="4588" spans="13:18">
      <c r="M4588" s="19"/>
      <c r="N4588" s="19"/>
      <c r="O4588" s="19"/>
      <c r="P4588" s="19"/>
      <c r="Q4588" s="19"/>
      <c r="R4588" s="19"/>
    </row>
    <row r="4589" spans="13:18">
      <c r="M4589" s="19"/>
      <c r="N4589" s="19"/>
      <c r="O4589" s="19"/>
      <c r="P4589" s="19"/>
      <c r="Q4589" s="19"/>
      <c r="R4589" s="19"/>
    </row>
    <row r="4590" spans="13:18">
      <c r="M4590" s="19"/>
      <c r="N4590" s="19"/>
      <c r="O4590" s="19"/>
      <c r="P4590" s="19"/>
      <c r="Q4590" s="19"/>
      <c r="R4590" s="19"/>
    </row>
    <row r="4591" spans="13:18">
      <c r="M4591" s="19"/>
      <c r="N4591" s="19"/>
      <c r="O4591" s="19"/>
      <c r="P4591" s="19"/>
      <c r="Q4591" s="19"/>
      <c r="R4591" s="19"/>
    </row>
    <row r="4592" spans="13:18">
      <c r="M4592" s="19"/>
      <c r="N4592" s="19"/>
      <c r="O4592" s="19"/>
      <c r="P4592" s="19"/>
      <c r="Q4592" s="19"/>
      <c r="R4592" s="19"/>
    </row>
    <row r="4593" spans="13:18">
      <c r="M4593" s="19"/>
      <c r="N4593" s="19"/>
      <c r="O4593" s="19"/>
      <c r="P4593" s="19"/>
      <c r="Q4593" s="19"/>
      <c r="R4593" s="19"/>
    </row>
    <row r="4594" spans="13:18">
      <c r="M4594" s="19"/>
      <c r="N4594" s="19"/>
      <c r="O4594" s="19"/>
      <c r="P4594" s="19"/>
      <c r="Q4594" s="19"/>
      <c r="R4594" s="19"/>
    </row>
    <row r="4595" spans="13:18">
      <c r="M4595" s="19"/>
      <c r="N4595" s="19"/>
      <c r="O4595" s="19"/>
      <c r="P4595" s="19"/>
      <c r="Q4595" s="19"/>
      <c r="R4595" s="19"/>
    </row>
    <row r="4596" spans="13:18">
      <c r="M4596" s="19"/>
      <c r="N4596" s="19"/>
      <c r="O4596" s="19"/>
      <c r="P4596" s="19"/>
      <c r="Q4596" s="19"/>
      <c r="R4596" s="19"/>
    </row>
    <row r="4597" spans="13:18">
      <c r="M4597" s="19"/>
      <c r="N4597" s="19"/>
      <c r="O4597" s="19"/>
      <c r="P4597" s="19"/>
      <c r="Q4597" s="19"/>
      <c r="R4597" s="19"/>
    </row>
    <row r="4598" spans="13:18">
      <c r="M4598" s="19"/>
      <c r="N4598" s="19"/>
      <c r="O4598" s="19"/>
      <c r="P4598" s="19"/>
      <c r="Q4598" s="19"/>
      <c r="R4598" s="19"/>
    </row>
    <row r="4599" spans="13:18">
      <c r="M4599" s="19"/>
      <c r="N4599" s="19"/>
      <c r="O4599" s="19"/>
      <c r="P4599" s="19"/>
      <c r="Q4599" s="19"/>
      <c r="R4599" s="19"/>
    </row>
    <row r="4600" spans="13:18">
      <c r="M4600" s="19"/>
      <c r="N4600" s="19"/>
      <c r="O4600" s="19"/>
      <c r="P4600" s="19"/>
      <c r="Q4600" s="19"/>
      <c r="R4600" s="19"/>
    </row>
    <row r="4601" spans="13:18">
      <c r="M4601" s="19"/>
      <c r="N4601" s="19"/>
      <c r="O4601" s="19"/>
      <c r="P4601" s="19"/>
      <c r="Q4601" s="19"/>
      <c r="R4601" s="19"/>
    </row>
    <row r="4602" spans="13:18">
      <c r="M4602" s="19"/>
      <c r="N4602" s="19"/>
      <c r="O4602" s="19"/>
      <c r="P4602" s="19"/>
      <c r="Q4602" s="19"/>
      <c r="R4602" s="19"/>
    </row>
    <row r="4603" spans="13:18">
      <c r="M4603" s="19"/>
      <c r="N4603" s="19"/>
      <c r="O4603" s="19"/>
      <c r="P4603" s="19"/>
      <c r="Q4603" s="19"/>
      <c r="R4603" s="19"/>
    </row>
    <row r="4604" spans="13:18">
      <c r="M4604" s="19"/>
      <c r="N4604" s="19"/>
      <c r="O4604" s="19"/>
      <c r="P4604" s="19"/>
      <c r="Q4604" s="19"/>
      <c r="R4604" s="19"/>
    </row>
    <row r="4605" spans="13:18">
      <c r="M4605" s="19"/>
      <c r="N4605" s="19"/>
      <c r="O4605" s="19"/>
      <c r="P4605" s="19"/>
      <c r="Q4605" s="19"/>
      <c r="R4605" s="19"/>
    </row>
    <row r="4606" spans="13:18">
      <c r="M4606" s="19"/>
      <c r="N4606" s="19"/>
      <c r="O4606" s="19"/>
      <c r="P4606" s="19"/>
      <c r="Q4606" s="19"/>
      <c r="R4606" s="19"/>
    </row>
    <row r="4607" spans="13:18">
      <c r="M4607" s="19"/>
      <c r="N4607" s="19"/>
      <c r="O4607" s="19"/>
      <c r="P4607" s="19"/>
      <c r="Q4607" s="19"/>
      <c r="R4607" s="19"/>
    </row>
    <row r="4608" spans="13:18">
      <c r="M4608" s="19"/>
      <c r="N4608" s="19"/>
      <c r="O4608" s="19"/>
      <c r="P4608" s="19"/>
      <c r="Q4608" s="19"/>
      <c r="R4608" s="19"/>
    </row>
    <row r="4609" spans="13:18">
      <c r="M4609" s="19"/>
      <c r="N4609" s="19"/>
      <c r="O4609" s="19"/>
      <c r="P4609" s="19"/>
      <c r="Q4609" s="19"/>
      <c r="R4609" s="19"/>
    </row>
    <row r="4610" spans="13:18">
      <c r="M4610" s="19"/>
      <c r="N4610" s="19"/>
      <c r="O4610" s="19"/>
      <c r="P4610" s="19"/>
      <c r="Q4610" s="19"/>
      <c r="R4610" s="19"/>
    </row>
    <row r="4611" spans="13:18">
      <c r="M4611" s="19"/>
      <c r="N4611" s="19"/>
      <c r="O4611" s="19"/>
      <c r="P4611" s="19"/>
      <c r="Q4611" s="19"/>
      <c r="R4611" s="19"/>
    </row>
    <row r="4612" spans="13:18">
      <c r="M4612" s="19"/>
      <c r="N4612" s="19"/>
      <c r="O4612" s="19"/>
      <c r="P4612" s="19"/>
      <c r="Q4612" s="19"/>
      <c r="R4612" s="19"/>
    </row>
    <row r="4613" spans="13:18">
      <c r="M4613" s="19"/>
      <c r="N4613" s="19"/>
      <c r="O4613" s="19"/>
      <c r="P4613" s="19"/>
      <c r="Q4613" s="19"/>
      <c r="R4613" s="19"/>
    </row>
    <row r="4614" spans="13:18">
      <c r="M4614" s="19"/>
      <c r="N4614" s="19"/>
      <c r="O4614" s="19"/>
      <c r="P4614" s="19"/>
      <c r="Q4614" s="19"/>
      <c r="R4614" s="19"/>
    </row>
    <row r="4615" spans="13:18">
      <c r="M4615" s="19"/>
      <c r="N4615" s="19"/>
      <c r="O4615" s="19"/>
      <c r="P4615" s="19"/>
      <c r="Q4615" s="19"/>
      <c r="R4615" s="19"/>
    </row>
    <row r="4616" spans="13:18">
      <c r="M4616" s="19"/>
      <c r="N4616" s="19"/>
      <c r="O4616" s="19"/>
      <c r="P4616" s="19"/>
      <c r="Q4616" s="19"/>
      <c r="R4616" s="19"/>
    </row>
    <row r="4617" spans="13:18">
      <c r="M4617" s="19"/>
      <c r="N4617" s="19"/>
      <c r="O4617" s="19"/>
      <c r="P4617" s="19"/>
      <c r="Q4617" s="19"/>
      <c r="R4617" s="19"/>
    </row>
    <row r="4618" spans="13:18">
      <c r="M4618" s="19"/>
      <c r="N4618" s="19"/>
      <c r="O4618" s="19"/>
      <c r="P4618" s="19"/>
      <c r="Q4618" s="19"/>
      <c r="R4618" s="19"/>
    </row>
    <row r="4619" spans="13:18">
      <c r="M4619" s="19"/>
      <c r="N4619" s="19"/>
      <c r="O4619" s="19"/>
      <c r="P4619" s="19"/>
      <c r="Q4619" s="19"/>
      <c r="R4619" s="19"/>
    </row>
    <row r="4620" spans="13:18">
      <c r="M4620" s="19"/>
      <c r="N4620" s="19"/>
      <c r="O4620" s="19"/>
      <c r="P4620" s="19"/>
      <c r="Q4620" s="19"/>
      <c r="R4620" s="19"/>
    </row>
    <row r="4621" spans="13:18">
      <c r="M4621" s="19"/>
      <c r="N4621" s="19"/>
      <c r="O4621" s="19"/>
      <c r="P4621" s="19"/>
      <c r="Q4621" s="19"/>
      <c r="R4621" s="19"/>
    </row>
    <row r="4622" spans="13:18">
      <c r="M4622" s="19"/>
      <c r="N4622" s="19"/>
      <c r="O4622" s="19"/>
      <c r="P4622" s="19"/>
      <c r="Q4622" s="19"/>
      <c r="R4622" s="19"/>
    </row>
    <row r="4623" spans="13:18">
      <c r="M4623" s="19"/>
      <c r="N4623" s="19"/>
      <c r="O4623" s="19"/>
      <c r="P4623" s="19"/>
      <c r="Q4623" s="19"/>
      <c r="R4623" s="19"/>
    </row>
    <row r="4624" spans="13:18">
      <c r="M4624" s="19"/>
      <c r="N4624" s="19"/>
      <c r="O4624" s="19"/>
      <c r="P4624" s="19"/>
      <c r="Q4624" s="19"/>
      <c r="R4624" s="19"/>
    </row>
    <row r="4625" spans="13:18">
      <c r="M4625" s="19"/>
      <c r="N4625" s="19"/>
      <c r="O4625" s="19"/>
      <c r="P4625" s="19"/>
      <c r="Q4625" s="19"/>
      <c r="R4625" s="19"/>
    </row>
    <row r="4626" spans="13:18">
      <c r="M4626" s="19"/>
      <c r="N4626" s="19"/>
      <c r="O4626" s="19"/>
      <c r="P4626" s="19"/>
      <c r="Q4626" s="19"/>
      <c r="R4626" s="19"/>
    </row>
    <row r="4627" spans="13:18">
      <c r="M4627" s="19"/>
      <c r="N4627" s="19"/>
      <c r="O4627" s="19"/>
      <c r="P4627" s="19"/>
      <c r="Q4627" s="19"/>
      <c r="R4627" s="19"/>
    </row>
    <row r="4628" spans="13:18">
      <c r="M4628" s="19"/>
      <c r="N4628" s="19"/>
      <c r="O4628" s="19"/>
      <c r="P4628" s="19"/>
      <c r="Q4628" s="19"/>
      <c r="R4628" s="19"/>
    </row>
    <row r="4629" spans="13:18">
      <c r="M4629" s="19"/>
      <c r="N4629" s="19"/>
      <c r="O4629" s="19"/>
      <c r="P4629" s="19"/>
      <c r="Q4629" s="19"/>
      <c r="R4629" s="19"/>
    </row>
    <row r="4630" spans="13:18">
      <c r="M4630" s="19"/>
      <c r="N4630" s="19"/>
      <c r="O4630" s="19"/>
      <c r="P4630" s="19"/>
      <c r="Q4630" s="19"/>
      <c r="R4630" s="19"/>
    </row>
    <row r="4631" spans="13:18">
      <c r="M4631" s="19"/>
      <c r="N4631" s="19"/>
      <c r="O4631" s="19"/>
      <c r="P4631" s="19"/>
      <c r="Q4631" s="19"/>
      <c r="R4631" s="19"/>
    </row>
    <row r="4632" spans="13:18">
      <c r="M4632" s="19"/>
      <c r="N4632" s="19"/>
      <c r="O4632" s="19"/>
      <c r="P4632" s="19"/>
      <c r="Q4632" s="19"/>
      <c r="R4632" s="19"/>
    </row>
    <row r="4633" spans="13:18">
      <c r="M4633" s="19"/>
      <c r="N4633" s="19"/>
      <c r="O4633" s="19"/>
      <c r="P4633" s="19"/>
      <c r="Q4633" s="19"/>
      <c r="R4633" s="19"/>
    </row>
    <row r="4634" spans="13:18">
      <c r="M4634" s="19"/>
      <c r="N4634" s="19"/>
      <c r="O4634" s="19"/>
      <c r="P4634" s="19"/>
      <c r="Q4634" s="19"/>
      <c r="R4634" s="19"/>
    </row>
    <row r="4635" spans="13:18">
      <c r="M4635" s="19"/>
      <c r="N4635" s="19"/>
      <c r="O4635" s="19"/>
      <c r="P4635" s="19"/>
      <c r="Q4635" s="19"/>
      <c r="R4635" s="19"/>
    </row>
    <row r="4636" spans="13:18">
      <c r="M4636" s="19"/>
      <c r="N4636" s="19"/>
      <c r="O4636" s="19"/>
      <c r="P4636" s="19"/>
      <c r="Q4636" s="19"/>
      <c r="R4636" s="19"/>
    </row>
    <row r="4637" spans="13:18">
      <c r="M4637" s="19"/>
      <c r="N4637" s="19"/>
      <c r="O4637" s="19"/>
      <c r="P4637" s="19"/>
      <c r="Q4637" s="19"/>
      <c r="R4637" s="19"/>
    </row>
    <row r="4638" spans="13:18">
      <c r="M4638" s="19"/>
      <c r="N4638" s="19"/>
      <c r="O4638" s="19"/>
      <c r="P4638" s="19"/>
      <c r="Q4638" s="19"/>
      <c r="R4638" s="19"/>
    </row>
    <row r="4639" spans="13:18">
      <c r="M4639" s="19"/>
      <c r="N4639" s="19"/>
      <c r="O4639" s="19"/>
      <c r="P4639" s="19"/>
      <c r="Q4639" s="19"/>
      <c r="R4639" s="19"/>
    </row>
    <row r="4640" spans="13:18">
      <c r="M4640" s="19"/>
      <c r="N4640" s="19"/>
      <c r="O4640" s="19"/>
      <c r="P4640" s="19"/>
      <c r="Q4640" s="19"/>
      <c r="R4640" s="19"/>
    </row>
    <row r="4641" spans="13:18">
      <c r="M4641" s="19"/>
      <c r="N4641" s="19"/>
      <c r="O4641" s="19"/>
      <c r="P4641" s="19"/>
      <c r="Q4641" s="19"/>
      <c r="R4641" s="19"/>
    </row>
    <row r="4642" spans="13:18">
      <c r="M4642" s="19"/>
      <c r="N4642" s="19"/>
      <c r="O4642" s="19"/>
      <c r="P4642" s="19"/>
      <c r="Q4642" s="19"/>
      <c r="R4642" s="19"/>
    </row>
    <row r="4643" spans="13:18">
      <c r="M4643" s="19"/>
      <c r="N4643" s="19"/>
      <c r="O4643" s="19"/>
      <c r="P4643" s="19"/>
      <c r="Q4643" s="19"/>
      <c r="R4643" s="19"/>
    </row>
    <row r="4644" spans="13:18">
      <c r="M4644" s="19"/>
      <c r="N4644" s="19"/>
      <c r="O4644" s="19"/>
      <c r="P4644" s="19"/>
      <c r="Q4644" s="19"/>
      <c r="R4644" s="19"/>
    </row>
    <row r="4645" spans="13:18">
      <c r="M4645" s="19"/>
      <c r="N4645" s="19"/>
      <c r="O4645" s="19"/>
      <c r="P4645" s="19"/>
      <c r="Q4645" s="19"/>
      <c r="R4645" s="19"/>
    </row>
    <row r="4646" spans="13:18">
      <c r="M4646" s="19"/>
      <c r="N4646" s="19"/>
      <c r="O4646" s="19"/>
      <c r="P4646" s="19"/>
      <c r="Q4646" s="19"/>
      <c r="R4646" s="19"/>
    </row>
    <row r="4647" spans="13:18">
      <c r="M4647" s="19"/>
      <c r="N4647" s="19"/>
      <c r="O4647" s="19"/>
      <c r="P4647" s="19"/>
      <c r="Q4647" s="19"/>
      <c r="R4647" s="19"/>
    </row>
    <row r="4648" spans="13:18">
      <c r="M4648" s="19"/>
      <c r="N4648" s="19"/>
      <c r="O4648" s="19"/>
      <c r="P4648" s="19"/>
      <c r="Q4648" s="19"/>
      <c r="R4648" s="19"/>
    </row>
    <row r="4649" spans="13:18">
      <c r="M4649" s="19"/>
      <c r="N4649" s="19"/>
      <c r="O4649" s="19"/>
      <c r="P4649" s="19"/>
      <c r="Q4649" s="19"/>
      <c r="R4649" s="19"/>
    </row>
    <row r="4650" spans="13:18">
      <c r="M4650" s="19"/>
      <c r="N4650" s="19"/>
      <c r="O4650" s="19"/>
      <c r="P4650" s="19"/>
      <c r="Q4650" s="19"/>
      <c r="R4650" s="19"/>
    </row>
    <row r="4651" spans="13:18">
      <c r="M4651" s="19"/>
      <c r="N4651" s="19"/>
      <c r="O4651" s="19"/>
      <c r="P4651" s="19"/>
      <c r="Q4651" s="19"/>
      <c r="R4651" s="19"/>
    </row>
    <row r="4652" spans="13:18">
      <c r="M4652" s="19"/>
      <c r="N4652" s="19"/>
      <c r="O4652" s="19"/>
      <c r="P4652" s="19"/>
      <c r="Q4652" s="19"/>
      <c r="R4652" s="19"/>
    </row>
    <row r="4653" spans="13:18">
      <c r="M4653" s="19"/>
      <c r="N4653" s="19"/>
      <c r="O4653" s="19"/>
      <c r="P4653" s="19"/>
      <c r="Q4653" s="19"/>
      <c r="R4653" s="19"/>
    </row>
    <row r="4654" spans="13:18">
      <c r="M4654" s="19"/>
      <c r="N4654" s="19"/>
      <c r="O4654" s="19"/>
      <c r="P4654" s="19"/>
      <c r="Q4654" s="19"/>
      <c r="R4654" s="19"/>
    </row>
    <row r="4655" spans="13:18">
      <c r="M4655" s="19"/>
      <c r="N4655" s="19"/>
      <c r="O4655" s="19"/>
      <c r="P4655" s="19"/>
      <c r="Q4655" s="19"/>
      <c r="R4655" s="19"/>
    </row>
    <row r="4656" spans="13:18">
      <c r="M4656" s="19"/>
      <c r="N4656" s="19"/>
      <c r="O4656" s="19"/>
      <c r="P4656" s="19"/>
      <c r="Q4656" s="19"/>
      <c r="R4656" s="19"/>
    </row>
    <row r="4657" spans="13:18">
      <c r="M4657" s="19"/>
      <c r="N4657" s="19"/>
      <c r="O4657" s="19"/>
      <c r="P4657" s="19"/>
      <c r="Q4657" s="19"/>
      <c r="R4657" s="19"/>
    </row>
    <row r="4658" spans="13:18">
      <c r="M4658" s="19"/>
      <c r="N4658" s="19"/>
      <c r="O4658" s="19"/>
      <c r="P4658" s="19"/>
      <c r="Q4658" s="19"/>
      <c r="R4658" s="19"/>
    </row>
    <row r="4659" spans="13:18">
      <c r="M4659" s="19"/>
      <c r="N4659" s="19"/>
      <c r="O4659" s="19"/>
      <c r="P4659" s="19"/>
      <c r="Q4659" s="19"/>
      <c r="R4659" s="19"/>
    </row>
    <row r="4660" spans="13:18">
      <c r="M4660" s="19"/>
      <c r="N4660" s="19"/>
      <c r="O4660" s="19"/>
      <c r="P4660" s="19"/>
      <c r="Q4660" s="19"/>
      <c r="R4660" s="19"/>
    </row>
    <row r="4661" spans="13:18">
      <c r="M4661" s="19"/>
      <c r="N4661" s="19"/>
      <c r="O4661" s="19"/>
      <c r="P4661" s="19"/>
      <c r="Q4661" s="19"/>
      <c r="R4661" s="19"/>
    </row>
    <row r="4662" spans="13:18">
      <c r="M4662" s="19"/>
      <c r="N4662" s="19"/>
      <c r="O4662" s="19"/>
      <c r="P4662" s="19"/>
      <c r="Q4662" s="19"/>
      <c r="R4662" s="19"/>
    </row>
    <row r="4663" spans="13:18">
      <c r="M4663" s="19"/>
      <c r="N4663" s="19"/>
      <c r="O4663" s="19"/>
      <c r="P4663" s="19"/>
      <c r="Q4663" s="19"/>
      <c r="R4663" s="19"/>
    </row>
    <row r="4664" spans="13:18">
      <c r="M4664" s="19"/>
      <c r="N4664" s="19"/>
      <c r="O4664" s="19"/>
      <c r="P4664" s="19"/>
      <c r="Q4664" s="19"/>
      <c r="R4664" s="19"/>
    </row>
    <row r="4665" spans="13:18">
      <c r="M4665" s="19"/>
      <c r="N4665" s="19"/>
      <c r="O4665" s="19"/>
      <c r="P4665" s="19"/>
      <c r="Q4665" s="19"/>
      <c r="R4665" s="19"/>
    </row>
    <row r="4666" spans="13:18">
      <c r="M4666" s="19"/>
      <c r="N4666" s="19"/>
      <c r="O4666" s="19"/>
      <c r="P4666" s="19"/>
      <c r="Q4666" s="19"/>
      <c r="R4666" s="19"/>
    </row>
    <row r="4667" spans="13:18">
      <c r="M4667" s="19"/>
      <c r="N4667" s="19"/>
      <c r="O4667" s="19"/>
      <c r="P4667" s="19"/>
      <c r="Q4667" s="19"/>
      <c r="R4667" s="19"/>
    </row>
    <row r="4668" spans="13:18">
      <c r="M4668" s="19"/>
      <c r="N4668" s="19"/>
      <c r="O4668" s="19"/>
      <c r="P4668" s="19"/>
      <c r="Q4668" s="19"/>
      <c r="R4668" s="19"/>
    </row>
    <row r="4669" spans="13:18">
      <c r="M4669" s="19"/>
      <c r="N4669" s="19"/>
      <c r="O4669" s="19"/>
      <c r="P4669" s="19"/>
      <c r="Q4669" s="19"/>
      <c r="R4669" s="19"/>
    </row>
    <row r="4670" spans="13:18">
      <c r="M4670" s="19"/>
      <c r="N4670" s="19"/>
      <c r="O4670" s="19"/>
      <c r="P4670" s="19"/>
      <c r="Q4670" s="19"/>
      <c r="R4670" s="19"/>
    </row>
    <row r="4671" spans="13:18">
      <c r="M4671" s="19"/>
      <c r="N4671" s="19"/>
      <c r="O4671" s="19"/>
      <c r="P4671" s="19"/>
      <c r="Q4671" s="19"/>
      <c r="R4671" s="19"/>
    </row>
    <row r="4672" spans="13:18">
      <c r="M4672" s="19"/>
      <c r="N4672" s="19"/>
      <c r="O4672" s="19"/>
      <c r="P4672" s="19"/>
      <c r="Q4672" s="19"/>
      <c r="R4672" s="19"/>
    </row>
    <row r="4673" spans="13:18">
      <c r="M4673" s="19"/>
      <c r="N4673" s="19"/>
      <c r="O4673" s="19"/>
      <c r="P4673" s="19"/>
      <c r="Q4673" s="19"/>
      <c r="R4673" s="19"/>
    </row>
    <row r="4674" spans="13:18">
      <c r="M4674" s="19"/>
      <c r="N4674" s="19"/>
      <c r="O4674" s="19"/>
      <c r="P4674" s="19"/>
      <c r="Q4674" s="19"/>
      <c r="R4674" s="19"/>
    </row>
    <row r="4675" spans="13:18">
      <c r="M4675" s="19"/>
      <c r="N4675" s="19"/>
      <c r="O4675" s="19"/>
      <c r="P4675" s="19"/>
      <c r="Q4675" s="19"/>
      <c r="R4675" s="19"/>
    </row>
    <row r="4676" spans="13:18">
      <c r="M4676" s="19"/>
      <c r="N4676" s="19"/>
      <c r="O4676" s="19"/>
      <c r="P4676" s="19"/>
      <c r="Q4676" s="19"/>
      <c r="R4676" s="19"/>
    </row>
    <row r="4677" spans="13:18">
      <c r="M4677" s="19"/>
      <c r="N4677" s="19"/>
      <c r="O4677" s="19"/>
      <c r="P4677" s="19"/>
      <c r="Q4677" s="19"/>
      <c r="R4677" s="19"/>
    </row>
    <row r="4678" spans="13:18">
      <c r="M4678" s="19"/>
      <c r="N4678" s="19"/>
      <c r="O4678" s="19"/>
      <c r="P4678" s="19"/>
      <c r="Q4678" s="19"/>
      <c r="R4678" s="19"/>
    </row>
    <row r="4679" spans="13:18">
      <c r="M4679" s="19"/>
      <c r="N4679" s="19"/>
      <c r="O4679" s="19"/>
      <c r="P4679" s="19"/>
      <c r="Q4679" s="19"/>
      <c r="R4679" s="19"/>
    </row>
    <row r="4680" spans="13:18">
      <c r="M4680" s="19"/>
      <c r="N4680" s="19"/>
      <c r="O4680" s="19"/>
      <c r="P4680" s="19"/>
      <c r="Q4680" s="19"/>
      <c r="R4680" s="19"/>
    </row>
    <row r="4681" spans="13:18">
      <c r="M4681" s="19"/>
      <c r="N4681" s="19"/>
      <c r="O4681" s="19"/>
      <c r="P4681" s="19"/>
      <c r="Q4681" s="19"/>
      <c r="R4681" s="19"/>
    </row>
    <row r="4682" spans="13:18">
      <c r="M4682" s="19"/>
      <c r="N4682" s="19"/>
      <c r="O4682" s="19"/>
      <c r="P4682" s="19"/>
      <c r="Q4682" s="19"/>
      <c r="R4682" s="19"/>
    </row>
    <row r="4683" spans="13:18">
      <c r="M4683" s="19"/>
      <c r="N4683" s="19"/>
      <c r="O4683" s="19"/>
      <c r="P4683" s="19"/>
      <c r="Q4683" s="19"/>
      <c r="R4683" s="19"/>
    </row>
    <row r="4684" spans="13:18">
      <c r="M4684" s="19"/>
      <c r="N4684" s="19"/>
      <c r="O4684" s="19"/>
      <c r="P4684" s="19"/>
      <c r="Q4684" s="19"/>
      <c r="R4684" s="19"/>
    </row>
    <row r="4685" spans="13:18">
      <c r="M4685" s="19"/>
      <c r="N4685" s="19"/>
      <c r="O4685" s="19"/>
      <c r="P4685" s="19"/>
      <c r="Q4685" s="19"/>
      <c r="R4685" s="19"/>
    </row>
    <row r="4686" spans="13:18">
      <c r="M4686" s="19"/>
      <c r="N4686" s="19"/>
      <c r="O4686" s="19"/>
      <c r="P4686" s="19"/>
      <c r="Q4686" s="19"/>
      <c r="R4686" s="19"/>
    </row>
    <row r="4687" spans="13:18">
      <c r="M4687" s="19"/>
      <c r="N4687" s="19"/>
      <c r="O4687" s="19"/>
      <c r="P4687" s="19"/>
      <c r="Q4687" s="19"/>
      <c r="R4687" s="19"/>
    </row>
    <row r="4688" spans="13:18">
      <c r="M4688" s="19"/>
      <c r="N4688" s="19"/>
      <c r="O4688" s="19"/>
      <c r="P4688" s="19"/>
      <c r="Q4688" s="19"/>
      <c r="R4688" s="19"/>
    </row>
    <row r="4689" spans="13:18">
      <c r="M4689" s="19"/>
      <c r="N4689" s="19"/>
      <c r="O4689" s="19"/>
      <c r="P4689" s="19"/>
      <c r="Q4689" s="19"/>
      <c r="R4689" s="19"/>
    </row>
    <row r="4690" spans="13:18">
      <c r="M4690" s="19"/>
      <c r="N4690" s="19"/>
      <c r="O4690" s="19"/>
      <c r="P4690" s="19"/>
      <c r="Q4690" s="19"/>
      <c r="R4690" s="19"/>
    </row>
    <row r="4691" spans="13:18">
      <c r="M4691" s="19"/>
      <c r="N4691" s="19"/>
      <c r="O4691" s="19"/>
      <c r="P4691" s="19"/>
      <c r="Q4691" s="19"/>
      <c r="R4691" s="19"/>
    </row>
    <row r="4692" spans="13:18">
      <c r="M4692" s="19"/>
      <c r="N4692" s="19"/>
      <c r="O4692" s="19"/>
      <c r="P4692" s="19"/>
      <c r="Q4692" s="19"/>
      <c r="R4692" s="19"/>
    </row>
    <row r="4693" spans="13:18">
      <c r="M4693" s="19"/>
      <c r="N4693" s="19"/>
      <c r="O4693" s="19"/>
      <c r="P4693" s="19"/>
      <c r="Q4693" s="19"/>
      <c r="R4693" s="19"/>
    </row>
    <row r="4694" spans="13:18">
      <c r="M4694" s="19"/>
      <c r="N4694" s="19"/>
      <c r="O4694" s="19"/>
      <c r="P4694" s="19"/>
      <c r="Q4694" s="19"/>
      <c r="R4694" s="19"/>
    </row>
    <row r="4695" spans="13:18">
      <c r="M4695" s="19"/>
      <c r="N4695" s="19"/>
      <c r="O4695" s="19"/>
      <c r="P4695" s="19"/>
      <c r="Q4695" s="19"/>
      <c r="R4695" s="19"/>
    </row>
    <row r="4696" spans="13:18">
      <c r="M4696" s="19"/>
      <c r="N4696" s="19"/>
      <c r="O4696" s="19"/>
      <c r="P4696" s="19"/>
      <c r="Q4696" s="19"/>
      <c r="R4696" s="19"/>
    </row>
    <row r="4697" spans="13:18">
      <c r="M4697" s="19"/>
      <c r="N4697" s="19"/>
      <c r="O4697" s="19"/>
      <c r="P4697" s="19"/>
      <c r="Q4697" s="19"/>
      <c r="R4697" s="19"/>
    </row>
    <row r="4698" spans="13:18">
      <c r="M4698" s="19"/>
      <c r="N4698" s="19"/>
      <c r="O4698" s="19"/>
      <c r="P4698" s="19"/>
      <c r="Q4698" s="19"/>
      <c r="R4698" s="19"/>
    </row>
    <row r="4699" spans="13:18">
      <c r="M4699" s="19"/>
      <c r="N4699" s="19"/>
      <c r="O4699" s="19"/>
      <c r="P4699" s="19"/>
      <c r="Q4699" s="19"/>
      <c r="R4699" s="19"/>
    </row>
    <row r="4700" spans="13:18">
      <c r="M4700" s="19"/>
      <c r="N4700" s="19"/>
      <c r="O4700" s="19"/>
      <c r="P4700" s="19"/>
      <c r="Q4700" s="19"/>
      <c r="R4700" s="19"/>
    </row>
    <row r="4701" spans="13:18">
      <c r="M4701" s="19"/>
      <c r="N4701" s="19"/>
      <c r="O4701" s="19"/>
      <c r="P4701" s="19"/>
      <c r="Q4701" s="19"/>
      <c r="R4701" s="19"/>
    </row>
    <row r="4702" spans="13:18">
      <c r="M4702" s="19"/>
      <c r="N4702" s="19"/>
      <c r="O4702" s="19"/>
      <c r="P4702" s="19"/>
      <c r="Q4702" s="19"/>
      <c r="R4702" s="19"/>
    </row>
    <row r="4703" spans="13:18">
      <c r="M4703" s="19"/>
      <c r="N4703" s="19"/>
      <c r="O4703" s="19"/>
      <c r="P4703" s="19"/>
      <c r="Q4703" s="19"/>
      <c r="R4703" s="19"/>
    </row>
    <row r="4704" spans="13:18">
      <c r="M4704" s="19"/>
      <c r="N4704" s="19"/>
      <c r="O4704" s="19"/>
      <c r="P4704" s="19"/>
      <c r="Q4704" s="19"/>
      <c r="R4704" s="19"/>
    </row>
    <row r="4705" spans="13:18">
      <c r="M4705" s="19"/>
      <c r="N4705" s="19"/>
      <c r="O4705" s="19"/>
      <c r="P4705" s="19"/>
      <c r="Q4705" s="19"/>
      <c r="R4705" s="19"/>
    </row>
    <row r="4706" spans="13:18">
      <c r="M4706" s="19"/>
      <c r="N4706" s="19"/>
      <c r="O4706" s="19"/>
      <c r="P4706" s="19"/>
      <c r="Q4706" s="19"/>
      <c r="R4706" s="19"/>
    </row>
    <row r="4707" spans="13:18">
      <c r="M4707" s="19"/>
      <c r="N4707" s="19"/>
      <c r="O4707" s="19"/>
      <c r="P4707" s="19"/>
      <c r="Q4707" s="19"/>
      <c r="R4707" s="19"/>
    </row>
    <row r="4708" spans="13:18">
      <c r="M4708" s="19"/>
      <c r="N4708" s="19"/>
      <c r="O4708" s="19"/>
      <c r="P4708" s="19"/>
      <c r="Q4708" s="19"/>
      <c r="R4708" s="19"/>
    </row>
    <row r="4709" spans="13:18">
      <c r="M4709" s="19"/>
      <c r="N4709" s="19"/>
      <c r="O4709" s="19"/>
      <c r="P4709" s="19"/>
      <c r="Q4709" s="19"/>
      <c r="R4709" s="19"/>
    </row>
    <row r="4710" spans="13:18">
      <c r="M4710" s="19"/>
      <c r="N4710" s="19"/>
      <c r="O4710" s="19"/>
      <c r="P4710" s="19"/>
      <c r="Q4710" s="19"/>
      <c r="R4710" s="19"/>
    </row>
    <row r="4711" spans="13:18">
      <c r="M4711" s="19"/>
      <c r="N4711" s="19"/>
      <c r="O4711" s="19"/>
      <c r="P4711" s="19"/>
      <c r="Q4711" s="19"/>
      <c r="R4711" s="19"/>
    </row>
    <row r="4712" spans="13:18">
      <c r="M4712" s="19"/>
      <c r="N4712" s="19"/>
      <c r="O4712" s="19"/>
      <c r="P4712" s="19"/>
      <c r="Q4712" s="19"/>
      <c r="R4712" s="19"/>
    </row>
    <row r="4713" spans="13:18">
      <c r="M4713" s="19"/>
      <c r="N4713" s="19"/>
      <c r="O4713" s="19"/>
      <c r="P4713" s="19"/>
      <c r="Q4713" s="19"/>
      <c r="R4713" s="19"/>
    </row>
    <row r="4714" spans="13:18">
      <c r="M4714" s="19"/>
      <c r="N4714" s="19"/>
      <c r="O4714" s="19"/>
      <c r="P4714" s="19"/>
      <c r="Q4714" s="19"/>
      <c r="R4714" s="19"/>
    </row>
    <row r="4715" spans="13:18">
      <c r="M4715" s="19"/>
      <c r="N4715" s="19"/>
      <c r="O4715" s="19"/>
      <c r="P4715" s="19"/>
      <c r="Q4715" s="19"/>
      <c r="R4715" s="19"/>
    </row>
    <row r="4716" spans="13:18">
      <c r="M4716" s="19"/>
      <c r="N4716" s="19"/>
      <c r="O4716" s="19"/>
      <c r="P4716" s="19"/>
      <c r="Q4716" s="19"/>
      <c r="R4716" s="19"/>
    </row>
    <row r="4717" spans="13:18">
      <c r="M4717" s="19"/>
      <c r="N4717" s="19"/>
      <c r="O4717" s="19"/>
      <c r="P4717" s="19"/>
      <c r="Q4717" s="19"/>
      <c r="R4717" s="19"/>
    </row>
    <row r="4718" spans="13:18">
      <c r="M4718" s="19"/>
      <c r="N4718" s="19"/>
      <c r="O4718" s="19"/>
      <c r="P4718" s="19"/>
      <c r="Q4718" s="19"/>
      <c r="R4718" s="19"/>
    </row>
    <row r="4719" spans="13:18">
      <c r="M4719" s="19"/>
      <c r="N4719" s="19"/>
      <c r="O4719" s="19"/>
      <c r="P4719" s="19"/>
      <c r="Q4719" s="19"/>
      <c r="R4719" s="19"/>
    </row>
    <row r="4720" spans="13:18">
      <c r="M4720" s="19"/>
      <c r="N4720" s="19"/>
      <c r="O4720" s="19"/>
      <c r="P4720" s="19"/>
      <c r="Q4720" s="19"/>
      <c r="R4720" s="19"/>
    </row>
    <row r="4721" spans="13:18">
      <c r="M4721" s="19"/>
      <c r="N4721" s="19"/>
      <c r="O4721" s="19"/>
      <c r="P4721" s="19"/>
      <c r="Q4721" s="19"/>
      <c r="R4721" s="19"/>
    </row>
    <row r="4722" spans="13:18">
      <c r="M4722" s="19"/>
      <c r="N4722" s="19"/>
      <c r="O4722" s="19"/>
      <c r="P4722" s="19"/>
      <c r="Q4722" s="19"/>
      <c r="R4722" s="19"/>
    </row>
    <row r="4723" spans="13:18">
      <c r="M4723" s="19"/>
      <c r="N4723" s="19"/>
      <c r="O4723" s="19"/>
      <c r="P4723" s="19"/>
      <c r="Q4723" s="19"/>
      <c r="R4723" s="19"/>
    </row>
    <row r="4724" spans="13:18">
      <c r="M4724" s="19"/>
      <c r="N4724" s="19"/>
      <c r="O4724" s="19"/>
      <c r="P4724" s="19"/>
      <c r="Q4724" s="19"/>
      <c r="R4724" s="19"/>
    </row>
    <row r="4725" spans="13:18">
      <c r="M4725" s="19"/>
      <c r="N4725" s="19"/>
      <c r="O4725" s="19"/>
      <c r="P4725" s="19"/>
      <c r="Q4725" s="19"/>
      <c r="R4725" s="19"/>
    </row>
    <row r="4726" spans="13:18">
      <c r="M4726" s="19"/>
      <c r="N4726" s="19"/>
      <c r="O4726" s="19"/>
      <c r="P4726" s="19"/>
      <c r="Q4726" s="19"/>
      <c r="R4726" s="19"/>
    </row>
    <row r="4727" spans="13:18">
      <c r="M4727" s="19"/>
      <c r="N4727" s="19"/>
      <c r="O4727" s="19"/>
      <c r="P4727" s="19"/>
      <c r="Q4727" s="19"/>
      <c r="R4727" s="19"/>
    </row>
    <row r="4728" spans="13:18">
      <c r="M4728" s="19"/>
      <c r="N4728" s="19"/>
      <c r="O4728" s="19"/>
      <c r="P4728" s="19"/>
      <c r="Q4728" s="19"/>
      <c r="R4728" s="19"/>
    </row>
    <row r="4729" spans="13:18">
      <c r="M4729" s="19"/>
      <c r="N4729" s="19"/>
      <c r="O4729" s="19"/>
      <c r="P4729" s="19"/>
      <c r="Q4729" s="19"/>
      <c r="R4729" s="19"/>
    </row>
    <row r="4730" spans="13:18">
      <c r="M4730" s="19"/>
      <c r="N4730" s="19"/>
      <c r="O4730" s="19"/>
      <c r="P4730" s="19"/>
      <c r="Q4730" s="19"/>
      <c r="R4730" s="19"/>
    </row>
    <row r="4731" spans="13:18">
      <c r="M4731" s="19"/>
      <c r="N4731" s="19"/>
      <c r="O4731" s="19"/>
      <c r="P4731" s="19"/>
      <c r="Q4731" s="19"/>
      <c r="R4731" s="19"/>
    </row>
    <row r="4732" spans="13:18">
      <c r="M4732" s="19"/>
      <c r="N4732" s="19"/>
      <c r="O4732" s="19"/>
      <c r="P4732" s="19"/>
      <c r="Q4732" s="19"/>
      <c r="R4732" s="19"/>
    </row>
    <row r="4733" spans="13:18">
      <c r="M4733" s="19"/>
      <c r="N4733" s="19"/>
      <c r="O4733" s="19"/>
      <c r="P4733" s="19"/>
      <c r="Q4733" s="19"/>
      <c r="R4733" s="19"/>
    </row>
    <row r="4734" spans="13:18">
      <c r="M4734" s="19"/>
      <c r="N4734" s="19"/>
      <c r="O4734" s="19"/>
      <c r="P4734" s="19"/>
      <c r="Q4734" s="19"/>
      <c r="R4734" s="19"/>
    </row>
    <row r="4735" spans="13:18">
      <c r="M4735" s="19"/>
      <c r="N4735" s="19"/>
      <c r="O4735" s="19"/>
      <c r="P4735" s="19"/>
      <c r="Q4735" s="19"/>
      <c r="R4735" s="19"/>
    </row>
    <row r="4736" spans="13:18">
      <c r="M4736" s="19"/>
      <c r="N4736" s="19"/>
      <c r="O4736" s="19"/>
      <c r="P4736" s="19"/>
      <c r="Q4736" s="19"/>
      <c r="R4736" s="19"/>
    </row>
    <row r="4737" spans="13:18">
      <c r="M4737" s="19"/>
      <c r="N4737" s="19"/>
      <c r="O4737" s="19"/>
      <c r="P4737" s="19"/>
      <c r="Q4737" s="19"/>
      <c r="R4737" s="19"/>
    </row>
    <row r="4738" spans="13:18">
      <c r="M4738" s="19"/>
      <c r="N4738" s="19"/>
      <c r="O4738" s="19"/>
      <c r="P4738" s="19"/>
      <c r="Q4738" s="19"/>
      <c r="R4738" s="19"/>
    </row>
    <row r="4739" spans="13:18">
      <c r="M4739" s="19"/>
      <c r="N4739" s="19"/>
      <c r="O4739" s="19"/>
      <c r="P4739" s="19"/>
      <c r="Q4739" s="19"/>
      <c r="R4739" s="19"/>
    </row>
    <row r="4740" spans="13:18">
      <c r="M4740" s="19"/>
      <c r="N4740" s="19"/>
      <c r="O4740" s="19"/>
      <c r="P4740" s="19"/>
      <c r="Q4740" s="19"/>
      <c r="R4740" s="19"/>
    </row>
    <row r="4741" spans="13:18">
      <c r="M4741" s="19"/>
      <c r="N4741" s="19"/>
      <c r="O4741" s="19"/>
      <c r="P4741" s="19"/>
      <c r="Q4741" s="19"/>
      <c r="R4741" s="19"/>
    </row>
    <row r="4742" spans="13:18">
      <c r="M4742" s="19"/>
      <c r="N4742" s="19"/>
      <c r="O4742" s="19"/>
      <c r="P4742" s="19"/>
      <c r="Q4742" s="19"/>
      <c r="R4742" s="19"/>
    </row>
    <row r="4743" spans="13:18">
      <c r="M4743" s="19"/>
      <c r="N4743" s="19"/>
      <c r="O4743" s="19"/>
      <c r="P4743" s="19"/>
      <c r="Q4743" s="19"/>
      <c r="R4743" s="19"/>
    </row>
    <row r="4744" spans="13:18">
      <c r="M4744" s="19"/>
      <c r="N4744" s="19"/>
      <c r="O4744" s="19"/>
      <c r="P4744" s="19"/>
      <c r="Q4744" s="19"/>
      <c r="R4744" s="19"/>
    </row>
    <row r="4745" spans="13:18">
      <c r="M4745" s="19"/>
      <c r="N4745" s="19"/>
      <c r="O4745" s="19"/>
      <c r="P4745" s="19"/>
      <c r="Q4745" s="19"/>
      <c r="R4745" s="19"/>
    </row>
    <row r="4746" spans="13:18">
      <c r="M4746" s="19"/>
      <c r="N4746" s="19"/>
      <c r="O4746" s="19"/>
      <c r="P4746" s="19"/>
      <c r="Q4746" s="19"/>
      <c r="R4746" s="19"/>
    </row>
    <row r="4747" spans="13:18">
      <c r="M4747" s="19"/>
      <c r="N4747" s="19"/>
      <c r="O4747" s="19"/>
      <c r="P4747" s="19"/>
      <c r="Q4747" s="19"/>
      <c r="R4747" s="19"/>
    </row>
    <row r="4748" spans="13:18">
      <c r="M4748" s="19"/>
      <c r="N4748" s="19"/>
      <c r="O4748" s="19"/>
      <c r="P4748" s="19"/>
      <c r="Q4748" s="19"/>
      <c r="R4748" s="19"/>
    </row>
    <row r="4749" spans="13:18">
      <c r="M4749" s="19"/>
      <c r="N4749" s="19"/>
      <c r="O4749" s="19"/>
      <c r="P4749" s="19"/>
      <c r="Q4749" s="19"/>
      <c r="R4749" s="19"/>
    </row>
    <row r="4750" spans="13:18">
      <c r="M4750" s="19"/>
      <c r="N4750" s="19"/>
      <c r="O4750" s="19"/>
      <c r="P4750" s="19"/>
      <c r="Q4750" s="19"/>
      <c r="R4750" s="19"/>
    </row>
    <row r="4751" spans="13:18">
      <c r="M4751" s="19"/>
      <c r="N4751" s="19"/>
      <c r="O4751" s="19"/>
      <c r="P4751" s="19"/>
      <c r="Q4751" s="19"/>
      <c r="R4751" s="19"/>
    </row>
    <row r="4752" spans="13:18">
      <c r="M4752" s="19"/>
      <c r="N4752" s="19"/>
      <c r="O4752" s="19"/>
      <c r="P4752" s="19"/>
      <c r="Q4752" s="19"/>
      <c r="R4752" s="19"/>
    </row>
    <row r="4753" spans="13:18">
      <c r="M4753" s="19"/>
      <c r="N4753" s="19"/>
      <c r="O4753" s="19"/>
      <c r="P4753" s="19"/>
      <c r="Q4753" s="19"/>
      <c r="R4753" s="19"/>
    </row>
    <row r="4754" spans="13:18">
      <c r="M4754" s="19"/>
      <c r="N4754" s="19"/>
      <c r="O4754" s="19"/>
      <c r="P4754" s="19"/>
      <c r="Q4754" s="19"/>
      <c r="R4754" s="19"/>
    </row>
    <row r="4755" spans="13:18">
      <c r="M4755" s="19"/>
      <c r="N4755" s="19"/>
      <c r="O4755" s="19"/>
      <c r="P4755" s="19"/>
      <c r="Q4755" s="19"/>
      <c r="R4755" s="19"/>
    </row>
    <row r="4756" spans="13:18">
      <c r="M4756" s="19"/>
      <c r="N4756" s="19"/>
      <c r="O4756" s="19"/>
      <c r="P4756" s="19"/>
      <c r="Q4756" s="19"/>
      <c r="R4756" s="19"/>
    </row>
    <row r="4757" spans="13:18">
      <c r="M4757" s="19"/>
      <c r="N4757" s="19"/>
      <c r="O4757" s="19"/>
      <c r="P4757" s="19"/>
      <c r="Q4757" s="19"/>
      <c r="R4757" s="19"/>
    </row>
    <row r="4758" spans="13:18">
      <c r="M4758" s="19"/>
      <c r="N4758" s="19"/>
      <c r="O4758" s="19"/>
      <c r="P4758" s="19"/>
      <c r="Q4758" s="19"/>
      <c r="R4758" s="19"/>
    </row>
    <row r="4759" spans="13:18">
      <c r="M4759" s="19"/>
      <c r="N4759" s="19"/>
      <c r="O4759" s="19"/>
      <c r="P4759" s="19"/>
      <c r="Q4759" s="19"/>
      <c r="R4759" s="19"/>
    </row>
    <row r="4760" spans="13:18">
      <c r="M4760" s="19"/>
      <c r="N4760" s="19"/>
      <c r="O4760" s="19"/>
      <c r="P4760" s="19"/>
      <c r="Q4760" s="19"/>
      <c r="R4760" s="19"/>
    </row>
    <row r="4761" spans="13:18">
      <c r="M4761" s="19"/>
      <c r="N4761" s="19"/>
      <c r="O4761" s="19"/>
      <c r="P4761" s="19"/>
      <c r="Q4761" s="19"/>
      <c r="R4761" s="19"/>
    </row>
    <row r="4762" spans="13:18">
      <c r="M4762" s="19"/>
      <c r="N4762" s="19"/>
      <c r="O4762" s="19"/>
      <c r="P4762" s="19"/>
      <c r="Q4762" s="19"/>
      <c r="R4762" s="19"/>
    </row>
    <row r="4763" spans="13:18">
      <c r="M4763" s="19"/>
      <c r="N4763" s="19"/>
      <c r="O4763" s="19"/>
      <c r="P4763" s="19"/>
      <c r="Q4763" s="19"/>
      <c r="R4763" s="19"/>
    </row>
    <row r="4764" spans="13:18">
      <c r="M4764" s="19"/>
      <c r="N4764" s="19"/>
      <c r="O4764" s="19"/>
      <c r="P4764" s="19"/>
      <c r="Q4764" s="19"/>
      <c r="R4764" s="19"/>
    </row>
    <row r="4765" spans="13:18">
      <c r="M4765" s="19"/>
      <c r="N4765" s="19"/>
      <c r="O4765" s="19"/>
      <c r="P4765" s="19"/>
      <c r="Q4765" s="19"/>
      <c r="R4765" s="19"/>
    </row>
    <row r="4766" spans="13:18">
      <c r="M4766" s="19"/>
      <c r="N4766" s="19"/>
      <c r="O4766" s="19"/>
      <c r="P4766" s="19"/>
      <c r="Q4766" s="19"/>
      <c r="R4766" s="19"/>
    </row>
    <row r="4767" spans="13:18">
      <c r="M4767" s="19"/>
      <c r="N4767" s="19"/>
      <c r="O4767" s="19"/>
      <c r="P4767" s="19"/>
      <c r="Q4767" s="19"/>
      <c r="R4767" s="19"/>
    </row>
    <row r="4768" spans="13:18">
      <c r="M4768" s="19"/>
      <c r="N4768" s="19"/>
      <c r="O4768" s="19"/>
      <c r="P4768" s="19"/>
      <c r="Q4768" s="19"/>
      <c r="R4768" s="19"/>
    </row>
    <row r="4769" spans="13:18">
      <c r="M4769" s="19"/>
      <c r="N4769" s="19"/>
      <c r="O4769" s="19"/>
      <c r="P4769" s="19"/>
      <c r="Q4769" s="19"/>
      <c r="R4769" s="19"/>
    </row>
    <row r="4770" spans="13:18">
      <c r="M4770" s="19"/>
      <c r="N4770" s="19"/>
      <c r="O4770" s="19"/>
      <c r="P4770" s="19"/>
      <c r="Q4770" s="19"/>
      <c r="R4770" s="19"/>
    </row>
    <row r="4771" spans="13:18">
      <c r="M4771" s="19"/>
      <c r="N4771" s="19"/>
      <c r="O4771" s="19"/>
      <c r="P4771" s="19"/>
      <c r="Q4771" s="19"/>
      <c r="R4771" s="19"/>
    </row>
    <row r="4772" spans="13:18">
      <c r="M4772" s="19"/>
      <c r="N4772" s="19"/>
      <c r="O4772" s="19"/>
      <c r="P4772" s="19"/>
      <c r="Q4772" s="19"/>
      <c r="R4772" s="19"/>
    </row>
    <row r="4773" spans="13:18">
      <c r="M4773" s="19"/>
      <c r="N4773" s="19"/>
      <c r="O4773" s="19"/>
      <c r="P4773" s="19"/>
      <c r="Q4773" s="19"/>
      <c r="R4773" s="19"/>
    </row>
    <row r="4774" spans="13:18">
      <c r="M4774" s="19"/>
      <c r="N4774" s="19"/>
      <c r="O4774" s="19"/>
      <c r="P4774" s="19"/>
      <c r="Q4774" s="19"/>
      <c r="R4774" s="19"/>
    </row>
    <row r="4775" spans="13:18">
      <c r="M4775" s="19"/>
      <c r="N4775" s="19"/>
      <c r="O4775" s="19"/>
      <c r="P4775" s="19"/>
      <c r="Q4775" s="19"/>
      <c r="R4775" s="19"/>
    </row>
    <row r="4776" spans="13:18">
      <c r="M4776" s="19"/>
      <c r="N4776" s="19"/>
      <c r="O4776" s="19"/>
      <c r="P4776" s="19"/>
      <c r="Q4776" s="19"/>
      <c r="R4776" s="19"/>
    </row>
    <row r="4777" spans="13:18">
      <c r="M4777" s="19"/>
      <c r="N4777" s="19"/>
      <c r="O4777" s="19"/>
      <c r="P4777" s="19"/>
      <c r="Q4777" s="19"/>
      <c r="R4777" s="19"/>
    </row>
    <row r="4778" spans="13:18">
      <c r="M4778" s="19"/>
      <c r="N4778" s="19"/>
      <c r="O4778" s="19"/>
      <c r="P4778" s="19"/>
      <c r="Q4778" s="19"/>
      <c r="R4778" s="19"/>
    </row>
    <row r="4779" spans="13:18">
      <c r="M4779" s="19"/>
      <c r="N4779" s="19"/>
      <c r="O4779" s="19"/>
      <c r="P4779" s="19"/>
      <c r="Q4779" s="19"/>
      <c r="R4779" s="19"/>
    </row>
    <row r="4780" spans="13:18">
      <c r="M4780" s="19"/>
      <c r="N4780" s="19"/>
      <c r="O4780" s="19"/>
      <c r="P4780" s="19"/>
      <c r="Q4780" s="19"/>
      <c r="R4780" s="19"/>
    </row>
    <row r="4781" spans="13:18">
      <c r="M4781" s="19"/>
      <c r="N4781" s="19"/>
      <c r="O4781" s="19"/>
      <c r="P4781" s="19"/>
      <c r="Q4781" s="19"/>
      <c r="R4781" s="19"/>
    </row>
    <row r="4782" spans="13:18">
      <c r="M4782" s="19"/>
      <c r="N4782" s="19"/>
      <c r="O4782" s="19"/>
      <c r="P4782" s="19"/>
      <c r="Q4782" s="19"/>
      <c r="R4782" s="19"/>
    </row>
    <row r="4783" spans="13:18">
      <c r="M4783" s="19"/>
      <c r="N4783" s="19"/>
      <c r="O4783" s="19"/>
      <c r="P4783" s="19"/>
      <c r="Q4783" s="19"/>
      <c r="R4783" s="19"/>
    </row>
    <row r="4784" spans="13:18">
      <c r="M4784" s="19"/>
      <c r="N4784" s="19"/>
      <c r="O4784" s="19"/>
      <c r="P4784" s="19"/>
      <c r="Q4784" s="19"/>
      <c r="R4784" s="19"/>
    </row>
    <row r="4785" spans="13:18">
      <c r="M4785" s="19"/>
      <c r="N4785" s="19"/>
      <c r="O4785" s="19"/>
      <c r="P4785" s="19"/>
      <c r="Q4785" s="19"/>
      <c r="R4785" s="19"/>
    </row>
    <row r="4786" spans="13:18">
      <c r="M4786" s="19"/>
      <c r="N4786" s="19"/>
      <c r="O4786" s="19"/>
      <c r="P4786" s="19"/>
      <c r="Q4786" s="19"/>
      <c r="R4786" s="19"/>
    </row>
    <row r="4787" spans="13:18">
      <c r="M4787" s="19"/>
      <c r="N4787" s="19"/>
      <c r="O4787" s="19"/>
      <c r="P4787" s="19"/>
      <c r="Q4787" s="19"/>
      <c r="R4787" s="19"/>
    </row>
    <row r="4788" spans="13:18">
      <c r="M4788" s="19"/>
      <c r="N4788" s="19"/>
      <c r="O4788" s="19"/>
      <c r="P4788" s="19"/>
      <c r="Q4788" s="19"/>
      <c r="R4788" s="19"/>
    </row>
    <row r="4789" spans="13:18">
      <c r="M4789" s="19"/>
      <c r="N4789" s="19"/>
      <c r="O4789" s="19"/>
      <c r="P4789" s="19"/>
      <c r="Q4789" s="19"/>
      <c r="R4789" s="19"/>
    </row>
    <row r="4790" spans="13:18">
      <c r="M4790" s="19"/>
      <c r="N4790" s="19"/>
      <c r="O4790" s="19"/>
      <c r="P4790" s="19"/>
      <c r="Q4790" s="19"/>
      <c r="R4790" s="19"/>
    </row>
    <row r="4791" spans="13:18">
      <c r="M4791" s="19"/>
      <c r="N4791" s="19"/>
      <c r="O4791" s="19"/>
      <c r="P4791" s="19"/>
      <c r="Q4791" s="19"/>
      <c r="R4791" s="19"/>
    </row>
    <row r="4792" spans="13:18">
      <c r="M4792" s="19"/>
      <c r="N4792" s="19"/>
      <c r="O4792" s="19"/>
      <c r="P4792" s="19"/>
      <c r="Q4792" s="19"/>
      <c r="R4792" s="19"/>
    </row>
    <row r="4793" spans="13:18">
      <c r="M4793" s="19"/>
      <c r="N4793" s="19"/>
      <c r="O4793" s="19"/>
      <c r="P4793" s="19"/>
      <c r="Q4793" s="19"/>
      <c r="R4793" s="19"/>
    </row>
    <row r="4794" spans="13:18">
      <c r="M4794" s="19"/>
      <c r="N4794" s="19"/>
      <c r="O4794" s="19"/>
      <c r="P4794" s="19"/>
      <c r="Q4794" s="19"/>
      <c r="R4794" s="19"/>
    </row>
    <row r="4795" spans="13:18">
      <c r="M4795" s="19"/>
      <c r="N4795" s="19"/>
      <c r="O4795" s="19"/>
      <c r="P4795" s="19"/>
      <c r="Q4795" s="19"/>
      <c r="R4795" s="19"/>
    </row>
    <row r="4796" spans="13:18">
      <c r="M4796" s="19"/>
      <c r="N4796" s="19"/>
      <c r="O4796" s="19"/>
      <c r="P4796" s="19"/>
      <c r="Q4796" s="19"/>
      <c r="R4796" s="19"/>
    </row>
    <row r="4797" spans="13:18">
      <c r="M4797" s="19"/>
      <c r="N4797" s="19"/>
      <c r="O4797" s="19"/>
      <c r="P4797" s="19"/>
      <c r="Q4797" s="19"/>
      <c r="R4797" s="19"/>
    </row>
    <row r="4798" spans="13:18">
      <c r="M4798" s="19"/>
      <c r="N4798" s="19"/>
      <c r="O4798" s="19"/>
      <c r="P4798" s="19"/>
      <c r="Q4798" s="19"/>
      <c r="R4798" s="19"/>
    </row>
    <row r="4799" spans="13:18">
      <c r="M4799" s="19"/>
      <c r="N4799" s="19"/>
      <c r="O4799" s="19"/>
      <c r="P4799" s="19"/>
      <c r="Q4799" s="19"/>
      <c r="R4799" s="19"/>
    </row>
    <row r="4800" spans="13:18">
      <c r="M4800" s="19"/>
      <c r="N4800" s="19"/>
      <c r="O4800" s="19"/>
      <c r="P4800" s="19"/>
      <c r="Q4800" s="19"/>
      <c r="R4800" s="19"/>
    </row>
    <row r="4801" spans="13:18">
      <c r="M4801" s="19"/>
      <c r="N4801" s="19"/>
      <c r="O4801" s="19"/>
      <c r="P4801" s="19"/>
      <c r="Q4801" s="19"/>
      <c r="R4801" s="19"/>
    </row>
    <row r="4802" spans="13:18">
      <c r="M4802" s="19"/>
      <c r="N4802" s="19"/>
      <c r="O4802" s="19"/>
      <c r="P4802" s="19"/>
      <c r="Q4802" s="19"/>
      <c r="R4802" s="19"/>
    </row>
    <row r="4803" spans="13:18">
      <c r="M4803" s="19"/>
      <c r="N4803" s="19"/>
      <c r="O4803" s="19"/>
      <c r="P4803" s="19"/>
      <c r="Q4803" s="19"/>
      <c r="R4803" s="19"/>
    </row>
    <row r="4804" spans="13:18">
      <c r="M4804" s="19"/>
      <c r="N4804" s="19"/>
      <c r="O4804" s="19"/>
      <c r="P4804" s="19"/>
      <c r="Q4804" s="19"/>
      <c r="R4804" s="19"/>
    </row>
    <row r="4805" spans="13:18">
      <c r="M4805" s="19"/>
      <c r="N4805" s="19"/>
      <c r="O4805" s="19"/>
      <c r="P4805" s="19"/>
      <c r="Q4805" s="19"/>
      <c r="R4805" s="19"/>
    </row>
    <row r="4806" spans="13:18">
      <c r="M4806" s="19"/>
      <c r="N4806" s="19"/>
      <c r="O4806" s="19"/>
      <c r="P4806" s="19"/>
      <c r="Q4806" s="19"/>
      <c r="R4806" s="19"/>
    </row>
    <row r="4807" spans="13:18">
      <c r="M4807" s="19"/>
      <c r="N4807" s="19"/>
      <c r="O4807" s="19"/>
      <c r="P4807" s="19"/>
      <c r="Q4807" s="19"/>
      <c r="R4807" s="19"/>
    </row>
    <row r="4808" spans="13:18">
      <c r="M4808" s="19"/>
      <c r="N4808" s="19"/>
      <c r="O4808" s="19"/>
      <c r="P4808" s="19"/>
      <c r="Q4808" s="19"/>
      <c r="R4808" s="19"/>
    </row>
    <row r="4809" spans="13:18">
      <c r="M4809" s="19"/>
      <c r="N4809" s="19"/>
      <c r="O4809" s="19"/>
      <c r="P4809" s="19"/>
      <c r="Q4809" s="19"/>
      <c r="R4809" s="19"/>
    </row>
    <row r="4810" spans="13:18">
      <c r="M4810" s="19"/>
      <c r="N4810" s="19"/>
      <c r="O4810" s="19"/>
      <c r="P4810" s="19"/>
      <c r="Q4810" s="19"/>
      <c r="R4810" s="19"/>
    </row>
    <row r="4811" spans="13:18">
      <c r="M4811" s="19"/>
      <c r="N4811" s="19"/>
      <c r="O4811" s="19"/>
      <c r="P4811" s="19"/>
      <c r="Q4811" s="19"/>
      <c r="R4811" s="19"/>
    </row>
    <row r="4812" spans="13:18">
      <c r="M4812" s="19"/>
      <c r="N4812" s="19"/>
      <c r="O4812" s="19"/>
      <c r="P4812" s="19"/>
      <c r="Q4812" s="19"/>
      <c r="R4812" s="19"/>
    </row>
    <row r="4813" spans="13:18">
      <c r="M4813" s="19"/>
      <c r="N4813" s="19"/>
      <c r="O4813" s="19"/>
      <c r="P4813" s="19"/>
      <c r="Q4813" s="19"/>
      <c r="R4813" s="19"/>
    </row>
    <row r="4814" spans="13:18">
      <c r="M4814" s="19"/>
      <c r="N4814" s="19"/>
      <c r="O4814" s="19"/>
      <c r="P4814" s="19"/>
      <c r="Q4814" s="19"/>
      <c r="R4814" s="19"/>
    </row>
    <row r="4815" spans="13:18">
      <c r="M4815" s="19"/>
      <c r="N4815" s="19"/>
      <c r="O4815" s="19"/>
      <c r="P4815" s="19"/>
      <c r="Q4815" s="19"/>
      <c r="R4815" s="19"/>
    </row>
    <row r="4816" spans="13:18">
      <c r="M4816" s="19"/>
      <c r="N4816" s="19"/>
      <c r="O4816" s="19"/>
      <c r="P4816" s="19"/>
      <c r="Q4816" s="19"/>
      <c r="R4816" s="19"/>
    </row>
    <row r="4817" spans="13:18">
      <c r="M4817" s="19"/>
      <c r="N4817" s="19"/>
      <c r="O4817" s="19"/>
      <c r="P4817" s="19"/>
      <c r="Q4817" s="19"/>
      <c r="R4817" s="19"/>
    </row>
    <row r="4818" spans="13:18">
      <c r="M4818" s="19"/>
      <c r="N4818" s="19"/>
      <c r="O4818" s="19"/>
      <c r="P4818" s="19"/>
      <c r="Q4818" s="19"/>
      <c r="R4818" s="19"/>
    </row>
    <row r="4819" spans="13:18">
      <c r="M4819" s="19"/>
      <c r="N4819" s="19"/>
      <c r="O4819" s="19"/>
      <c r="P4819" s="19"/>
      <c r="Q4819" s="19"/>
      <c r="R4819" s="19"/>
    </row>
    <row r="4820" spans="13:18">
      <c r="M4820" s="19"/>
      <c r="N4820" s="19"/>
      <c r="O4820" s="19"/>
      <c r="P4820" s="19"/>
      <c r="Q4820" s="19"/>
      <c r="R4820" s="19"/>
    </row>
    <row r="4821" spans="13:18">
      <c r="M4821" s="19"/>
      <c r="N4821" s="19"/>
      <c r="O4821" s="19"/>
      <c r="P4821" s="19"/>
      <c r="Q4821" s="19"/>
      <c r="R4821" s="19"/>
    </row>
    <row r="4822" spans="13:18">
      <c r="M4822" s="19"/>
      <c r="N4822" s="19"/>
      <c r="O4822" s="19"/>
      <c r="P4822" s="19"/>
      <c r="Q4822" s="19"/>
      <c r="R4822" s="19"/>
    </row>
    <row r="4823" spans="13:18">
      <c r="M4823" s="19"/>
      <c r="N4823" s="19"/>
      <c r="O4823" s="19"/>
      <c r="P4823" s="19"/>
      <c r="Q4823" s="19"/>
      <c r="R4823" s="19"/>
    </row>
    <row r="4824" spans="13:18">
      <c r="M4824" s="19"/>
      <c r="N4824" s="19"/>
      <c r="O4824" s="19"/>
      <c r="P4824" s="19"/>
      <c r="Q4824" s="19"/>
      <c r="R4824" s="19"/>
    </row>
    <row r="4825" spans="13:18">
      <c r="M4825" s="19"/>
      <c r="N4825" s="19"/>
      <c r="O4825" s="19"/>
      <c r="P4825" s="19"/>
      <c r="Q4825" s="19"/>
      <c r="R4825" s="19"/>
    </row>
    <row r="4826" spans="13:18">
      <c r="M4826" s="19"/>
      <c r="N4826" s="19"/>
      <c r="O4826" s="19"/>
      <c r="P4826" s="19"/>
      <c r="Q4826" s="19"/>
      <c r="R4826" s="19"/>
    </row>
    <row r="4827" spans="13:18">
      <c r="M4827" s="19"/>
      <c r="N4827" s="19"/>
      <c r="O4827" s="19"/>
      <c r="P4827" s="19"/>
      <c r="Q4827" s="19"/>
      <c r="R4827" s="19"/>
    </row>
    <row r="4828" spans="13:18">
      <c r="M4828" s="19"/>
      <c r="N4828" s="19"/>
      <c r="O4828" s="19"/>
      <c r="P4828" s="19"/>
      <c r="Q4828" s="19"/>
      <c r="R4828" s="19"/>
    </row>
    <row r="4829" spans="13:18">
      <c r="M4829" s="19"/>
      <c r="N4829" s="19"/>
      <c r="O4829" s="19"/>
      <c r="P4829" s="19"/>
      <c r="Q4829" s="19"/>
      <c r="R4829" s="19"/>
    </row>
    <row r="4830" spans="13:18">
      <c r="M4830" s="19"/>
      <c r="N4830" s="19"/>
      <c r="O4830" s="19"/>
      <c r="P4830" s="19"/>
      <c r="Q4830" s="19"/>
      <c r="R4830" s="19"/>
    </row>
    <row r="4831" spans="13:18">
      <c r="M4831" s="19"/>
      <c r="N4831" s="19"/>
      <c r="O4831" s="19"/>
      <c r="P4831" s="19"/>
      <c r="Q4831" s="19"/>
      <c r="R4831" s="19"/>
    </row>
    <row r="4832" spans="13:18">
      <c r="M4832" s="19"/>
      <c r="N4832" s="19"/>
      <c r="O4832" s="19"/>
      <c r="P4832" s="19"/>
      <c r="Q4832" s="19"/>
      <c r="R4832" s="19"/>
    </row>
    <row r="4833" spans="13:18">
      <c r="M4833" s="19"/>
      <c r="N4833" s="19"/>
      <c r="O4833" s="19"/>
      <c r="P4833" s="19"/>
      <c r="Q4833" s="19"/>
      <c r="R4833" s="19"/>
    </row>
    <row r="4834" spans="13:18">
      <c r="M4834" s="19"/>
      <c r="N4834" s="19"/>
      <c r="O4834" s="19"/>
      <c r="P4834" s="19"/>
      <c r="Q4834" s="19"/>
      <c r="R4834" s="19"/>
    </row>
    <row r="4835" spans="13:18">
      <c r="M4835" s="19"/>
      <c r="N4835" s="19"/>
      <c r="O4835" s="19"/>
      <c r="P4835" s="19"/>
      <c r="Q4835" s="19"/>
      <c r="R4835" s="19"/>
    </row>
    <row r="4836" spans="13:18">
      <c r="M4836" s="19"/>
      <c r="N4836" s="19"/>
      <c r="O4836" s="19"/>
      <c r="P4836" s="19"/>
      <c r="Q4836" s="19"/>
      <c r="R4836" s="19"/>
    </row>
    <row r="4837" spans="13:18">
      <c r="M4837" s="19"/>
      <c r="N4837" s="19"/>
      <c r="O4837" s="19"/>
      <c r="P4837" s="19"/>
      <c r="Q4837" s="19"/>
      <c r="R4837" s="19"/>
    </row>
    <row r="4838" spans="13:18">
      <c r="M4838" s="19"/>
      <c r="N4838" s="19"/>
      <c r="O4838" s="19"/>
      <c r="P4838" s="19"/>
      <c r="Q4838" s="19"/>
      <c r="R4838" s="19"/>
    </row>
    <row r="4839" spans="13:18">
      <c r="M4839" s="19"/>
      <c r="N4839" s="19"/>
      <c r="O4839" s="19"/>
      <c r="P4839" s="19"/>
      <c r="Q4839" s="19"/>
      <c r="R4839" s="19"/>
    </row>
    <row r="4840" spans="13:18">
      <c r="M4840" s="19"/>
      <c r="N4840" s="19"/>
      <c r="O4840" s="19"/>
      <c r="P4840" s="19"/>
      <c r="Q4840" s="19"/>
      <c r="R4840" s="19"/>
    </row>
    <row r="4841" spans="13:18">
      <c r="M4841" s="19"/>
      <c r="N4841" s="19"/>
      <c r="O4841" s="19"/>
      <c r="P4841" s="19"/>
      <c r="Q4841" s="19"/>
      <c r="R4841" s="19"/>
    </row>
    <row r="4842" spans="13:18">
      <c r="M4842" s="19"/>
      <c r="N4842" s="19"/>
      <c r="O4842" s="19"/>
      <c r="P4842" s="19"/>
      <c r="Q4842" s="19"/>
      <c r="R4842" s="19"/>
    </row>
    <row r="4843" spans="13:18">
      <c r="M4843" s="19"/>
      <c r="N4843" s="19"/>
      <c r="O4843" s="19"/>
      <c r="P4843" s="19"/>
      <c r="Q4843" s="19"/>
      <c r="R4843" s="19"/>
    </row>
    <row r="4844" spans="13:18">
      <c r="M4844" s="19"/>
      <c r="N4844" s="19"/>
      <c r="O4844" s="19"/>
      <c r="P4844" s="19"/>
      <c r="Q4844" s="19"/>
      <c r="R4844" s="19"/>
    </row>
    <row r="4845" spans="13:18">
      <c r="M4845" s="19"/>
      <c r="N4845" s="19"/>
      <c r="O4845" s="19"/>
      <c r="P4845" s="19"/>
      <c r="Q4845" s="19"/>
      <c r="R4845" s="19"/>
    </row>
    <row r="4846" spans="13:18">
      <c r="M4846" s="19"/>
      <c r="N4846" s="19"/>
      <c r="O4846" s="19"/>
      <c r="P4846" s="19"/>
      <c r="Q4846" s="19"/>
      <c r="R4846" s="19"/>
    </row>
    <row r="4847" spans="13:18">
      <c r="M4847" s="19"/>
      <c r="N4847" s="19"/>
      <c r="O4847" s="19"/>
      <c r="P4847" s="19"/>
      <c r="Q4847" s="19"/>
      <c r="R4847" s="19"/>
    </row>
    <row r="4848" spans="13:18">
      <c r="M4848" s="19"/>
      <c r="N4848" s="19"/>
      <c r="O4848" s="19"/>
      <c r="P4848" s="19"/>
      <c r="Q4848" s="19"/>
      <c r="R4848" s="19"/>
    </row>
    <row r="4849" spans="13:18">
      <c r="M4849" s="19"/>
      <c r="N4849" s="19"/>
      <c r="O4849" s="19"/>
      <c r="P4849" s="19"/>
      <c r="Q4849" s="19"/>
      <c r="R4849" s="19"/>
    </row>
    <row r="4850" spans="13:18">
      <c r="M4850" s="19"/>
      <c r="N4850" s="19"/>
      <c r="O4850" s="19"/>
      <c r="P4850" s="19"/>
      <c r="Q4850" s="19"/>
      <c r="R4850" s="19"/>
    </row>
    <row r="4851" spans="13:18">
      <c r="M4851" s="19"/>
      <c r="N4851" s="19"/>
      <c r="O4851" s="19"/>
      <c r="P4851" s="19"/>
      <c r="Q4851" s="19"/>
      <c r="R4851" s="19"/>
    </row>
    <row r="4852" spans="13:18">
      <c r="M4852" s="19"/>
      <c r="N4852" s="19"/>
      <c r="O4852" s="19"/>
      <c r="P4852" s="19"/>
      <c r="Q4852" s="19"/>
      <c r="R4852" s="19"/>
    </row>
    <row r="4853" spans="13:18">
      <c r="M4853" s="19"/>
      <c r="N4853" s="19"/>
      <c r="O4853" s="19"/>
      <c r="P4853" s="19"/>
      <c r="Q4853" s="19"/>
      <c r="R4853" s="19"/>
    </row>
    <row r="4854" spans="13:18">
      <c r="M4854" s="19"/>
      <c r="N4854" s="19"/>
      <c r="O4854" s="19"/>
      <c r="P4854" s="19"/>
      <c r="Q4854" s="19"/>
      <c r="R4854" s="19"/>
    </row>
    <row r="4855" spans="13:18">
      <c r="M4855" s="19"/>
      <c r="N4855" s="19"/>
      <c r="O4855" s="19"/>
      <c r="P4855" s="19"/>
      <c r="Q4855" s="19"/>
      <c r="R4855" s="19"/>
    </row>
    <row r="4856" spans="13:18">
      <c r="M4856" s="19"/>
      <c r="N4856" s="19"/>
      <c r="O4856" s="19"/>
      <c r="P4856" s="19"/>
      <c r="Q4856" s="19"/>
      <c r="R4856" s="19"/>
    </row>
    <row r="4857" spans="13:18">
      <c r="M4857" s="19"/>
      <c r="N4857" s="19"/>
      <c r="O4857" s="19"/>
      <c r="P4857" s="19"/>
      <c r="Q4857" s="19"/>
      <c r="R4857" s="19"/>
    </row>
    <row r="4858" spans="13:18">
      <c r="M4858" s="19"/>
      <c r="N4858" s="19"/>
      <c r="O4858" s="19"/>
      <c r="P4858" s="19"/>
      <c r="Q4858" s="19"/>
      <c r="R4858" s="19"/>
    </row>
    <row r="4859" spans="13:18">
      <c r="M4859" s="19"/>
      <c r="N4859" s="19"/>
      <c r="O4859" s="19"/>
      <c r="P4859" s="19"/>
      <c r="Q4859" s="19"/>
      <c r="R4859" s="19"/>
    </row>
    <row r="4860" spans="13:18">
      <c r="M4860" s="19"/>
      <c r="N4860" s="19"/>
      <c r="O4860" s="19"/>
      <c r="P4860" s="19"/>
      <c r="Q4860" s="19"/>
      <c r="R4860" s="19"/>
    </row>
    <row r="4861" spans="13:18">
      <c r="M4861" s="19"/>
      <c r="N4861" s="19"/>
      <c r="O4861" s="19"/>
      <c r="P4861" s="19"/>
      <c r="Q4861" s="19"/>
      <c r="R4861" s="19"/>
    </row>
    <row r="4862" spans="13:18">
      <c r="M4862" s="19"/>
      <c r="N4862" s="19"/>
      <c r="O4862" s="19"/>
      <c r="P4862" s="19"/>
      <c r="Q4862" s="19"/>
      <c r="R4862" s="19"/>
    </row>
    <row r="4863" spans="13:18">
      <c r="M4863" s="19"/>
      <c r="N4863" s="19"/>
      <c r="O4863" s="19"/>
      <c r="P4863" s="19"/>
      <c r="Q4863" s="19"/>
      <c r="R4863" s="19"/>
    </row>
    <row r="4864" spans="13:18">
      <c r="M4864" s="19"/>
      <c r="N4864" s="19"/>
      <c r="O4864" s="19"/>
      <c r="P4864" s="19"/>
      <c r="Q4864" s="19"/>
      <c r="R4864" s="19"/>
    </row>
    <row r="4865" spans="13:18">
      <c r="M4865" s="19"/>
      <c r="N4865" s="19"/>
      <c r="O4865" s="19"/>
      <c r="P4865" s="19"/>
      <c r="Q4865" s="19"/>
      <c r="R4865" s="19"/>
    </row>
    <row r="4866" spans="13:18">
      <c r="M4866" s="19"/>
      <c r="N4866" s="19"/>
      <c r="O4866" s="19"/>
      <c r="P4866" s="19"/>
      <c r="Q4866" s="19"/>
      <c r="R4866" s="19"/>
    </row>
    <row r="4867" spans="13:18">
      <c r="M4867" s="19"/>
      <c r="N4867" s="19"/>
      <c r="O4867" s="19"/>
      <c r="P4867" s="19"/>
      <c r="Q4867" s="19"/>
      <c r="R4867" s="19"/>
    </row>
    <row r="4868" spans="13:18">
      <c r="M4868" s="19"/>
      <c r="N4868" s="19"/>
      <c r="O4868" s="19"/>
      <c r="P4868" s="19"/>
      <c r="Q4868" s="19"/>
      <c r="R4868" s="19"/>
    </row>
    <row r="4869" spans="13:18">
      <c r="M4869" s="19"/>
      <c r="N4869" s="19"/>
      <c r="O4869" s="19"/>
      <c r="P4869" s="19"/>
      <c r="Q4869" s="19"/>
      <c r="R4869" s="19"/>
    </row>
    <row r="4870" spans="13:18">
      <c r="M4870" s="19"/>
      <c r="N4870" s="19"/>
      <c r="O4870" s="19"/>
      <c r="P4870" s="19"/>
      <c r="Q4870" s="19"/>
      <c r="R4870" s="19"/>
    </row>
    <row r="4871" spans="13:18">
      <c r="M4871" s="19"/>
      <c r="N4871" s="19"/>
      <c r="O4871" s="19"/>
      <c r="P4871" s="19"/>
      <c r="Q4871" s="19"/>
      <c r="R4871" s="19"/>
    </row>
    <row r="4872" spans="13:18">
      <c r="M4872" s="19"/>
      <c r="N4872" s="19"/>
      <c r="O4872" s="19"/>
      <c r="P4872" s="19"/>
      <c r="Q4872" s="19"/>
      <c r="R4872" s="19"/>
    </row>
    <row r="4873" spans="13:18">
      <c r="M4873" s="19"/>
      <c r="N4873" s="19"/>
      <c r="O4873" s="19"/>
      <c r="P4873" s="19"/>
      <c r="Q4873" s="19"/>
      <c r="R4873" s="19"/>
    </row>
    <row r="4874" spans="13:18">
      <c r="M4874" s="19"/>
      <c r="N4874" s="19"/>
      <c r="O4874" s="19"/>
      <c r="P4874" s="19"/>
      <c r="Q4874" s="19"/>
      <c r="R4874" s="19"/>
    </row>
    <row r="4875" spans="13:18">
      <c r="M4875" s="19"/>
      <c r="N4875" s="19"/>
      <c r="O4875" s="19"/>
      <c r="P4875" s="19"/>
      <c r="Q4875" s="19"/>
      <c r="R4875" s="19"/>
    </row>
    <row r="4876" spans="13:18">
      <c r="M4876" s="19"/>
      <c r="N4876" s="19"/>
      <c r="O4876" s="19"/>
      <c r="P4876" s="19"/>
      <c r="Q4876" s="19"/>
      <c r="R4876" s="19"/>
    </row>
    <row r="4877" spans="13:18">
      <c r="M4877" s="19"/>
      <c r="N4877" s="19"/>
      <c r="O4877" s="19"/>
      <c r="P4877" s="19"/>
      <c r="Q4877" s="19"/>
      <c r="R4877" s="19"/>
    </row>
    <row r="4878" spans="13:18">
      <c r="M4878" s="19"/>
      <c r="N4878" s="19"/>
      <c r="O4878" s="19"/>
      <c r="P4878" s="19"/>
      <c r="Q4878" s="19"/>
      <c r="R4878" s="19"/>
    </row>
    <row r="4879" spans="13:18">
      <c r="M4879" s="19"/>
      <c r="N4879" s="19"/>
      <c r="O4879" s="19"/>
      <c r="P4879" s="19"/>
      <c r="Q4879" s="19"/>
      <c r="R4879" s="19"/>
    </row>
    <row r="4880" spans="13:18">
      <c r="M4880" s="19"/>
      <c r="N4880" s="19"/>
      <c r="O4880" s="19"/>
      <c r="P4880" s="19"/>
      <c r="Q4880" s="19"/>
      <c r="R4880" s="19"/>
    </row>
    <row r="4881" spans="13:18">
      <c r="M4881" s="19"/>
      <c r="N4881" s="19"/>
      <c r="O4881" s="19"/>
      <c r="P4881" s="19"/>
      <c r="Q4881" s="19"/>
      <c r="R4881" s="19"/>
    </row>
    <row r="4882" spans="13:18">
      <c r="M4882" s="19"/>
      <c r="N4882" s="19"/>
      <c r="O4882" s="19"/>
      <c r="P4882" s="19"/>
      <c r="Q4882" s="19"/>
      <c r="R4882" s="19"/>
    </row>
    <row r="4883" spans="13:18">
      <c r="M4883" s="19"/>
      <c r="N4883" s="19"/>
      <c r="O4883" s="19"/>
      <c r="P4883" s="19"/>
      <c r="Q4883" s="19"/>
      <c r="R4883" s="19"/>
    </row>
    <row r="4884" spans="13:18">
      <c r="M4884" s="19"/>
      <c r="N4884" s="19"/>
      <c r="O4884" s="19"/>
      <c r="P4884" s="19"/>
      <c r="Q4884" s="19"/>
      <c r="R4884" s="19"/>
    </row>
    <row r="4885" spans="13:18">
      <c r="M4885" s="19"/>
      <c r="N4885" s="19"/>
      <c r="O4885" s="19"/>
      <c r="P4885" s="19"/>
      <c r="Q4885" s="19"/>
      <c r="R4885" s="19"/>
    </row>
    <row r="4886" spans="13:18">
      <c r="M4886" s="19"/>
      <c r="N4886" s="19"/>
      <c r="O4886" s="19"/>
      <c r="P4886" s="19"/>
      <c r="Q4886" s="19"/>
      <c r="R4886" s="19"/>
    </row>
    <row r="4887" spans="13:18">
      <c r="M4887" s="19"/>
      <c r="N4887" s="19"/>
      <c r="O4887" s="19"/>
      <c r="P4887" s="19"/>
      <c r="Q4887" s="19"/>
      <c r="R4887" s="19"/>
    </row>
    <row r="4888" spans="13:18">
      <c r="M4888" s="19"/>
      <c r="N4888" s="19"/>
      <c r="O4888" s="19"/>
      <c r="P4888" s="19"/>
      <c r="Q4888" s="19"/>
      <c r="R4888" s="19"/>
    </row>
    <row r="4889" spans="13:18">
      <c r="M4889" s="19"/>
      <c r="N4889" s="19"/>
      <c r="O4889" s="19"/>
      <c r="P4889" s="19"/>
      <c r="Q4889" s="19"/>
      <c r="R4889" s="19"/>
    </row>
    <row r="4890" spans="13:18">
      <c r="M4890" s="19"/>
      <c r="N4890" s="19"/>
      <c r="O4890" s="19"/>
      <c r="P4890" s="19"/>
      <c r="Q4890" s="19"/>
      <c r="R4890" s="19"/>
    </row>
    <row r="4891" spans="13:18">
      <c r="M4891" s="19"/>
      <c r="N4891" s="19"/>
      <c r="O4891" s="19"/>
      <c r="P4891" s="19"/>
      <c r="Q4891" s="19"/>
      <c r="R4891" s="19"/>
    </row>
    <row r="4892" spans="13:18">
      <c r="M4892" s="19"/>
      <c r="N4892" s="19"/>
      <c r="O4892" s="19"/>
      <c r="P4892" s="19"/>
      <c r="Q4892" s="19"/>
      <c r="R4892" s="19"/>
    </row>
    <row r="4893" spans="13:18">
      <c r="M4893" s="19"/>
      <c r="N4893" s="19"/>
      <c r="O4893" s="19"/>
      <c r="P4893" s="19"/>
      <c r="Q4893" s="19"/>
      <c r="R4893" s="19"/>
    </row>
    <row r="4894" spans="13:18">
      <c r="M4894" s="19"/>
      <c r="N4894" s="19"/>
      <c r="O4894" s="19"/>
      <c r="P4894" s="19"/>
      <c r="Q4894" s="19"/>
      <c r="R4894" s="19"/>
    </row>
    <row r="4895" spans="13:18">
      <c r="M4895" s="19"/>
      <c r="N4895" s="19"/>
      <c r="O4895" s="19"/>
      <c r="P4895" s="19"/>
      <c r="Q4895" s="19"/>
      <c r="R4895" s="19"/>
    </row>
    <row r="4896" spans="13:18">
      <c r="M4896" s="19"/>
      <c r="N4896" s="19"/>
      <c r="O4896" s="19"/>
      <c r="P4896" s="19"/>
      <c r="Q4896" s="19"/>
      <c r="R4896" s="19"/>
    </row>
    <row r="4897" spans="13:18">
      <c r="M4897" s="19"/>
      <c r="N4897" s="19"/>
      <c r="O4897" s="19"/>
      <c r="P4897" s="19"/>
      <c r="Q4897" s="19"/>
      <c r="R4897" s="19"/>
    </row>
    <row r="4898" spans="13:18">
      <c r="M4898" s="19"/>
      <c r="N4898" s="19"/>
      <c r="O4898" s="19"/>
      <c r="P4898" s="19"/>
      <c r="Q4898" s="19"/>
      <c r="R4898" s="19"/>
    </row>
    <row r="4899" spans="13:18">
      <c r="M4899" s="19"/>
      <c r="N4899" s="19"/>
      <c r="O4899" s="19"/>
      <c r="P4899" s="19"/>
      <c r="Q4899" s="19"/>
      <c r="R4899" s="19"/>
    </row>
    <row r="4900" spans="13:18">
      <c r="M4900" s="19"/>
      <c r="N4900" s="19"/>
      <c r="O4900" s="19"/>
      <c r="P4900" s="19"/>
      <c r="Q4900" s="19"/>
      <c r="R4900" s="19"/>
    </row>
    <row r="4901" spans="13:18">
      <c r="M4901" s="19"/>
      <c r="N4901" s="19"/>
      <c r="O4901" s="19"/>
      <c r="P4901" s="19"/>
      <c r="Q4901" s="19"/>
      <c r="R4901" s="19"/>
    </row>
    <row r="4902" spans="13:18">
      <c r="M4902" s="19"/>
      <c r="N4902" s="19"/>
      <c r="O4902" s="19"/>
      <c r="P4902" s="19"/>
      <c r="Q4902" s="19"/>
      <c r="R4902" s="19"/>
    </row>
    <row r="4903" spans="13:18">
      <c r="M4903" s="19"/>
      <c r="N4903" s="19"/>
      <c r="O4903" s="19"/>
      <c r="P4903" s="19"/>
      <c r="Q4903" s="19"/>
      <c r="R4903" s="19"/>
    </row>
    <row r="4904" spans="13:18">
      <c r="M4904" s="19"/>
      <c r="N4904" s="19"/>
      <c r="O4904" s="19"/>
      <c r="P4904" s="19"/>
      <c r="Q4904" s="19"/>
      <c r="R4904" s="19"/>
    </row>
    <row r="4905" spans="13:18">
      <c r="M4905" s="19"/>
      <c r="N4905" s="19"/>
      <c r="O4905" s="19"/>
      <c r="P4905" s="19"/>
      <c r="Q4905" s="19"/>
      <c r="R4905" s="19"/>
    </row>
    <row r="4906" spans="13:18">
      <c r="M4906" s="19"/>
      <c r="N4906" s="19"/>
      <c r="O4906" s="19"/>
      <c r="P4906" s="19"/>
      <c r="Q4906" s="19"/>
      <c r="R4906" s="19"/>
    </row>
    <row r="4907" spans="13:18">
      <c r="M4907" s="19"/>
      <c r="N4907" s="19"/>
      <c r="O4907" s="19"/>
      <c r="P4907" s="19"/>
      <c r="Q4907" s="19"/>
      <c r="R4907" s="19"/>
    </row>
    <row r="4908" spans="13:18">
      <c r="M4908" s="19"/>
      <c r="N4908" s="19"/>
      <c r="O4908" s="19"/>
      <c r="P4908" s="19"/>
      <c r="Q4908" s="19"/>
      <c r="R4908" s="19"/>
    </row>
    <row r="4909" spans="13:18">
      <c r="M4909" s="19"/>
      <c r="N4909" s="19"/>
      <c r="O4909" s="19"/>
      <c r="P4909" s="19"/>
      <c r="Q4909" s="19"/>
      <c r="R4909" s="19"/>
    </row>
    <row r="4910" spans="13:18">
      <c r="M4910" s="19"/>
      <c r="N4910" s="19"/>
      <c r="O4910" s="19"/>
      <c r="P4910" s="19"/>
      <c r="Q4910" s="19"/>
      <c r="R4910" s="19"/>
    </row>
    <row r="4911" spans="13:18">
      <c r="M4911" s="19"/>
      <c r="N4911" s="19"/>
      <c r="O4911" s="19"/>
      <c r="P4911" s="19"/>
      <c r="Q4911" s="19"/>
      <c r="R4911" s="19"/>
    </row>
    <row r="4912" spans="13:18">
      <c r="M4912" s="19"/>
      <c r="N4912" s="19"/>
      <c r="O4912" s="19"/>
      <c r="P4912" s="19"/>
      <c r="Q4912" s="19"/>
      <c r="R4912" s="19"/>
    </row>
    <row r="4913" spans="13:18">
      <c r="M4913" s="19"/>
      <c r="N4913" s="19"/>
      <c r="O4913" s="19"/>
      <c r="P4913" s="19"/>
      <c r="Q4913" s="19"/>
      <c r="R4913" s="19"/>
    </row>
    <row r="4914" spans="13:18">
      <c r="M4914" s="19"/>
      <c r="N4914" s="19"/>
      <c r="O4914" s="19"/>
      <c r="P4914" s="19"/>
      <c r="Q4914" s="19"/>
      <c r="R4914" s="19"/>
    </row>
    <row r="4915" spans="13:18">
      <c r="M4915" s="19"/>
      <c r="N4915" s="19"/>
      <c r="O4915" s="19"/>
      <c r="P4915" s="19"/>
      <c r="Q4915" s="19"/>
      <c r="R4915" s="19"/>
    </row>
    <row r="4916" spans="13:18">
      <c r="M4916" s="19"/>
      <c r="N4916" s="19"/>
      <c r="O4916" s="19"/>
      <c r="P4916" s="19"/>
      <c r="Q4916" s="19"/>
      <c r="R4916" s="19"/>
    </row>
    <row r="4917" spans="13:18">
      <c r="M4917" s="19"/>
      <c r="N4917" s="19"/>
      <c r="O4917" s="19"/>
      <c r="P4917" s="19"/>
      <c r="Q4917" s="19"/>
      <c r="R4917" s="19"/>
    </row>
    <row r="4918" spans="13:18">
      <c r="M4918" s="19"/>
      <c r="N4918" s="19"/>
      <c r="O4918" s="19"/>
      <c r="P4918" s="19"/>
      <c r="Q4918" s="19"/>
      <c r="R4918" s="19"/>
    </row>
    <row r="4919" spans="13:18">
      <c r="M4919" s="19"/>
      <c r="N4919" s="19"/>
      <c r="O4919" s="19"/>
      <c r="P4919" s="19"/>
      <c r="Q4919" s="19"/>
      <c r="R4919" s="19"/>
    </row>
    <row r="4920" spans="13:18">
      <c r="M4920" s="19"/>
      <c r="N4920" s="19"/>
      <c r="O4920" s="19"/>
      <c r="P4920" s="19"/>
      <c r="Q4920" s="19"/>
      <c r="R4920" s="19"/>
    </row>
    <row r="4921" spans="13:18">
      <c r="M4921" s="19"/>
      <c r="N4921" s="19"/>
      <c r="O4921" s="19"/>
      <c r="P4921" s="19"/>
      <c r="Q4921" s="19"/>
      <c r="R4921" s="19"/>
    </row>
    <row r="4922" spans="13:18">
      <c r="M4922" s="19"/>
      <c r="N4922" s="19"/>
      <c r="O4922" s="19"/>
      <c r="P4922" s="19"/>
      <c r="Q4922" s="19"/>
      <c r="R4922" s="19"/>
    </row>
    <row r="4923" spans="13:18">
      <c r="M4923" s="19"/>
      <c r="N4923" s="19"/>
      <c r="O4923" s="19"/>
      <c r="P4923" s="19"/>
      <c r="Q4923" s="19"/>
      <c r="R4923" s="19"/>
    </row>
    <row r="4924" spans="13:18">
      <c r="M4924" s="19"/>
      <c r="N4924" s="19"/>
      <c r="O4924" s="19"/>
      <c r="P4924" s="19"/>
      <c r="Q4924" s="19"/>
      <c r="R4924" s="19"/>
    </row>
    <row r="4925" spans="13:18">
      <c r="M4925" s="19"/>
      <c r="N4925" s="19"/>
      <c r="O4925" s="19"/>
      <c r="P4925" s="19"/>
      <c r="Q4925" s="19"/>
      <c r="R4925" s="19"/>
    </row>
    <row r="4926" spans="13:18">
      <c r="M4926" s="19"/>
      <c r="N4926" s="19"/>
      <c r="O4926" s="19"/>
      <c r="P4926" s="19"/>
      <c r="Q4926" s="19"/>
      <c r="R4926" s="19"/>
    </row>
    <row r="4927" spans="13:18">
      <c r="M4927" s="19"/>
      <c r="N4927" s="19"/>
      <c r="O4927" s="19"/>
      <c r="P4927" s="19"/>
      <c r="Q4927" s="19"/>
      <c r="R4927" s="19"/>
    </row>
    <row r="4928" spans="13:18">
      <c r="M4928" s="19"/>
      <c r="N4928" s="19"/>
      <c r="O4928" s="19"/>
      <c r="P4928" s="19"/>
      <c r="Q4928" s="19"/>
      <c r="R4928" s="19"/>
    </row>
    <row r="4929" spans="13:18">
      <c r="M4929" s="19"/>
      <c r="N4929" s="19"/>
      <c r="O4929" s="19"/>
      <c r="P4929" s="19"/>
      <c r="Q4929" s="19"/>
      <c r="R4929" s="19"/>
    </row>
    <row r="4930" spans="13:18">
      <c r="M4930" s="19"/>
      <c r="N4930" s="19"/>
      <c r="O4930" s="19"/>
      <c r="P4930" s="19"/>
      <c r="Q4930" s="19"/>
      <c r="R4930" s="19"/>
    </row>
    <row r="4931" spans="13:18">
      <c r="M4931" s="19"/>
      <c r="N4931" s="19"/>
      <c r="O4931" s="19"/>
      <c r="P4931" s="19"/>
      <c r="Q4931" s="19"/>
      <c r="R4931" s="19"/>
    </row>
    <row r="4932" spans="13:18">
      <c r="M4932" s="19"/>
      <c r="N4932" s="19"/>
      <c r="O4932" s="19"/>
      <c r="P4932" s="19"/>
      <c r="Q4932" s="19"/>
      <c r="R4932" s="19"/>
    </row>
    <row r="4933" spans="13:18">
      <c r="M4933" s="19"/>
      <c r="N4933" s="19"/>
      <c r="O4933" s="19"/>
      <c r="P4933" s="19"/>
      <c r="Q4933" s="19"/>
      <c r="R4933" s="19"/>
    </row>
    <row r="4934" spans="13:18">
      <c r="M4934" s="19"/>
      <c r="N4934" s="19"/>
      <c r="O4934" s="19"/>
      <c r="P4934" s="19"/>
      <c r="Q4934" s="19"/>
      <c r="R4934" s="19"/>
    </row>
    <row r="4935" spans="13:18">
      <c r="M4935" s="19"/>
      <c r="N4935" s="19"/>
      <c r="O4935" s="19"/>
      <c r="P4935" s="19"/>
      <c r="Q4935" s="19"/>
      <c r="R4935" s="19"/>
    </row>
    <row r="4936" spans="13:18">
      <c r="M4936" s="19"/>
      <c r="N4936" s="19"/>
      <c r="O4936" s="19"/>
      <c r="P4936" s="19"/>
      <c r="Q4936" s="19"/>
      <c r="R4936" s="19"/>
    </row>
    <row r="4937" spans="13:18">
      <c r="M4937" s="19"/>
      <c r="N4937" s="19"/>
      <c r="O4937" s="19"/>
      <c r="P4937" s="19"/>
      <c r="Q4937" s="19"/>
      <c r="R4937" s="19"/>
    </row>
    <row r="4938" spans="13:18">
      <c r="M4938" s="19"/>
      <c r="N4938" s="19"/>
      <c r="O4938" s="19"/>
      <c r="P4938" s="19"/>
      <c r="Q4938" s="19"/>
      <c r="R4938" s="19"/>
    </row>
    <row r="4939" spans="13:18">
      <c r="M4939" s="19"/>
      <c r="N4939" s="19"/>
      <c r="O4939" s="19"/>
      <c r="P4939" s="19"/>
      <c r="Q4939" s="19"/>
      <c r="R4939" s="19"/>
    </row>
    <row r="4940" spans="13:18">
      <c r="M4940" s="19"/>
      <c r="N4940" s="19"/>
      <c r="O4940" s="19"/>
      <c r="P4940" s="19"/>
      <c r="Q4940" s="19"/>
      <c r="R4940" s="19"/>
    </row>
    <row r="4941" spans="13:18">
      <c r="M4941" s="19"/>
      <c r="N4941" s="19"/>
      <c r="O4941" s="19"/>
      <c r="P4941" s="19"/>
      <c r="Q4941" s="19"/>
      <c r="R4941" s="19"/>
    </row>
    <row r="4942" spans="13:18">
      <c r="M4942" s="19"/>
      <c r="N4942" s="19"/>
      <c r="O4942" s="19"/>
      <c r="P4942" s="19"/>
      <c r="Q4942" s="19"/>
      <c r="R4942" s="19"/>
    </row>
    <row r="4943" spans="13:18">
      <c r="M4943" s="19"/>
      <c r="N4943" s="19"/>
      <c r="O4943" s="19"/>
      <c r="P4943" s="19"/>
      <c r="Q4943" s="19"/>
      <c r="R4943" s="19"/>
    </row>
    <row r="4944" spans="13:18">
      <c r="M4944" s="19"/>
      <c r="N4944" s="19"/>
      <c r="O4944" s="19"/>
      <c r="P4944" s="19"/>
      <c r="Q4944" s="19"/>
      <c r="R4944" s="19"/>
    </row>
    <row r="4945" spans="13:18">
      <c r="M4945" s="19"/>
      <c r="N4945" s="19"/>
      <c r="O4945" s="19"/>
      <c r="P4945" s="19"/>
      <c r="Q4945" s="19"/>
      <c r="R4945" s="19"/>
    </row>
    <row r="4946" spans="13:18">
      <c r="M4946" s="19"/>
      <c r="N4946" s="19"/>
      <c r="O4946" s="19"/>
      <c r="P4946" s="19"/>
      <c r="Q4946" s="19"/>
      <c r="R4946" s="19"/>
    </row>
    <row r="4947" spans="13:18">
      <c r="M4947" s="19"/>
      <c r="N4947" s="19"/>
      <c r="O4947" s="19"/>
      <c r="P4947" s="19"/>
      <c r="Q4947" s="19"/>
      <c r="R4947" s="19"/>
    </row>
    <row r="4948" spans="13:18">
      <c r="M4948" s="19"/>
      <c r="N4948" s="19"/>
      <c r="O4948" s="19"/>
      <c r="P4948" s="19"/>
      <c r="Q4948" s="19"/>
      <c r="R4948" s="19"/>
    </row>
    <row r="4949" spans="13:18">
      <c r="M4949" s="19"/>
      <c r="N4949" s="19"/>
      <c r="O4949" s="19"/>
      <c r="P4949" s="19"/>
      <c r="Q4949" s="19"/>
      <c r="R4949" s="19"/>
    </row>
    <row r="4950" spans="13:18">
      <c r="M4950" s="19"/>
      <c r="N4950" s="19"/>
      <c r="O4950" s="19"/>
      <c r="P4950" s="19"/>
      <c r="Q4950" s="19"/>
      <c r="R4950" s="19"/>
    </row>
    <row r="4951" spans="13:18">
      <c r="M4951" s="19"/>
      <c r="N4951" s="19"/>
      <c r="O4951" s="19"/>
      <c r="P4951" s="19"/>
      <c r="Q4951" s="19"/>
      <c r="R4951" s="19"/>
    </row>
    <row r="4952" spans="13:18">
      <c r="M4952" s="19"/>
      <c r="N4952" s="19"/>
      <c r="O4952" s="19"/>
      <c r="P4952" s="19"/>
      <c r="Q4952" s="19"/>
      <c r="R4952" s="19"/>
    </row>
    <row r="4953" spans="13:18">
      <c r="M4953" s="19"/>
      <c r="N4953" s="19"/>
      <c r="O4953" s="19"/>
      <c r="P4953" s="19"/>
      <c r="Q4953" s="19"/>
      <c r="R4953" s="19"/>
    </row>
    <row r="4954" spans="13:18">
      <c r="M4954" s="19"/>
      <c r="N4954" s="19"/>
      <c r="O4954" s="19"/>
      <c r="P4954" s="19"/>
      <c r="Q4954" s="19"/>
      <c r="R4954" s="19"/>
    </row>
    <row r="4955" spans="13:18">
      <c r="M4955" s="19"/>
      <c r="N4955" s="19"/>
      <c r="O4955" s="19"/>
      <c r="P4955" s="19"/>
      <c r="Q4955" s="19"/>
      <c r="R4955" s="19"/>
    </row>
    <row r="4956" spans="13:18">
      <c r="M4956" s="19"/>
      <c r="N4956" s="19"/>
      <c r="O4956" s="19"/>
      <c r="P4956" s="19"/>
      <c r="Q4956" s="19"/>
      <c r="R4956" s="19"/>
    </row>
    <row r="4957" spans="13:18">
      <c r="M4957" s="19"/>
      <c r="N4957" s="19"/>
      <c r="O4957" s="19"/>
      <c r="P4957" s="19"/>
      <c r="Q4957" s="19"/>
      <c r="R4957" s="19"/>
    </row>
    <row r="4958" spans="13:18">
      <c r="M4958" s="19"/>
      <c r="N4958" s="19"/>
      <c r="O4958" s="19"/>
      <c r="P4958" s="19"/>
      <c r="Q4958" s="19"/>
      <c r="R4958" s="19"/>
    </row>
    <row r="4959" spans="13:18">
      <c r="M4959" s="19"/>
      <c r="N4959" s="19"/>
      <c r="O4959" s="19"/>
      <c r="P4959" s="19"/>
      <c r="Q4959" s="19"/>
      <c r="R4959" s="19"/>
    </row>
    <row r="4960" spans="13:18">
      <c r="M4960" s="19"/>
      <c r="N4960" s="19"/>
      <c r="O4960" s="19"/>
      <c r="P4960" s="19"/>
      <c r="Q4960" s="19"/>
      <c r="R4960" s="19"/>
    </row>
    <row r="4961" spans="13:18">
      <c r="M4961" s="19"/>
      <c r="N4961" s="19"/>
      <c r="O4961" s="19"/>
      <c r="P4961" s="19"/>
      <c r="Q4961" s="19"/>
      <c r="R4961" s="19"/>
    </row>
    <row r="4962" spans="13:18">
      <c r="M4962" s="19"/>
      <c r="N4962" s="19"/>
      <c r="O4962" s="19"/>
      <c r="P4962" s="19"/>
      <c r="Q4962" s="19"/>
      <c r="R4962" s="19"/>
    </row>
    <row r="4963" spans="13:18">
      <c r="M4963" s="19"/>
      <c r="N4963" s="19"/>
      <c r="O4963" s="19"/>
      <c r="P4963" s="19"/>
      <c r="Q4963" s="19"/>
      <c r="R4963" s="19"/>
    </row>
    <row r="4964" spans="13:18">
      <c r="M4964" s="19"/>
      <c r="N4964" s="19"/>
      <c r="O4964" s="19"/>
      <c r="P4964" s="19"/>
      <c r="Q4964" s="19"/>
      <c r="R4964" s="19"/>
    </row>
    <row r="4965" spans="13:18">
      <c r="M4965" s="19"/>
      <c r="N4965" s="19"/>
      <c r="O4965" s="19"/>
      <c r="P4965" s="19"/>
      <c r="Q4965" s="19"/>
      <c r="R4965" s="19"/>
    </row>
    <row r="4966" spans="13:18">
      <c r="M4966" s="19"/>
      <c r="N4966" s="19"/>
      <c r="O4966" s="19"/>
      <c r="P4966" s="19"/>
      <c r="Q4966" s="19"/>
      <c r="R4966" s="19"/>
    </row>
    <row r="4967" spans="13:18">
      <c r="M4967" s="19"/>
      <c r="N4967" s="19"/>
      <c r="O4967" s="19"/>
      <c r="P4967" s="19"/>
      <c r="Q4967" s="19"/>
      <c r="R4967" s="19"/>
    </row>
    <row r="4968" spans="13:18">
      <c r="M4968" s="19"/>
      <c r="N4968" s="19"/>
      <c r="O4968" s="19"/>
      <c r="P4968" s="19"/>
      <c r="Q4968" s="19"/>
      <c r="R4968" s="19"/>
    </row>
    <row r="4969" spans="13:18">
      <c r="M4969" s="19"/>
      <c r="N4969" s="19"/>
      <c r="O4969" s="19"/>
      <c r="P4969" s="19"/>
      <c r="Q4969" s="19"/>
      <c r="R4969" s="19"/>
    </row>
    <row r="4970" spans="13:18">
      <c r="M4970" s="19"/>
      <c r="N4970" s="19"/>
      <c r="O4970" s="19"/>
      <c r="P4970" s="19"/>
      <c r="Q4970" s="19"/>
      <c r="R4970" s="19"/>
    </row>
    <row r="4971" spans="13:18">
      <c r="M4971" s="19"/>
      <c r="N4971" s="19"/>
      <c r="O4971" s="19"/>
      <c r="P4971" s="19"/>
      <c r="Q4971" s="19"/>
      <c r="R4971" s="19"/>
    </row>
    <row r="4972" spans="13:18">
      <c r="M4972" s="19"/>
      <c r="N4972" s="19"/>
      <c r="O4972" s="19"/>
      <c r="P4972" s="19"/>
      <c r="Q4972" s="19"/>
      <c r="R4972" s="19"/>
    </row>
    <row r="4973" spans="13:18">
      <c r="M4973" s="19"/>
      <c r="N4973" s="19"/>
      <c r="O4973" s="19"/>
      <c r="P4973" s="19"/>
      <c r="Q4973" s="19"/>
      <c r="R4973" s="19"/>
    </row>
    <row r="4974" spans="13:18">
      <c r="M4974" s="19"/>
      <c r="N4974" s="19"/>
      <c r="O4974" s="19"/>
      <c r="P4974" s="19"/>
      <c r="Q4974" s="19"/>
      <c r="R4974" s="19"/>
    </row>
    <row r="4975" spans="13:18">
      <c r="M4975" s="19"/>
      <c r="N4975" s="19"/>
      <c r="O4975" s="19"/>
      <c r="P4975" s="19"/>
      <c r="Q4975" s="19"/>
      <c r="R4975" s="19"/>
    </row>
    <row r="4976" spans="13:18">
      <c r="M4976" s="19"/>
      <c r="N4976" s="19"/>
      <c r="O4976" s="19"/>
      <c r="P4976" s="19"/>
      <c r="Q4976" s="19"/>
      <c r="R4976" s="19"/>
    </row>
    <row r="4977" spans="13:18">
      <c r="M4977" s="19"/>
      <c r="N4977" s="19"/>
      <c r="O4977" s="19"/>
      <c r="P4977" s="19"/>
      <c r="Q4977" s="19"/>
      <c r="R4977" s="19"/>
    </row>
    <row r="4978" spans="13:18">
      <c r="M4978" s="19"/>
      <c r="N4978" s="19"/>
      <c r="O4978" s="19"/>
      <c r="P4978" s="19"/>
      <c r="Q4978" s="19"/>
      <c r="R4978" s="19"/>
    </row>
    <row r="4979" spans="13:18">
      <c r="M4979" s="19"/>
      <c r="N4979" s="19"/>
      <c r="O4979" s="19"/>
      <c r="P4979" s="19"/>
      <c r="Q4979" s="19"/>
      <c r="R4979" s="19"/>
    </row>
    <row r="4980" spans="13:18">
      <c r="M4980" s="19"/>
      <c r="N4980" s="19"/>
      <c r="O4980" s="19"/>
      <c r="P4980" s="19"/>
      <c r="Q4980" s="19"/>
      <c r="R4980" s="19"/>
    </row>
    <row r="4981" spans="13:18">
      <c r="M4981" s="19"/>
      <c r="N4981" s="19"/>
      <c r="O4981" s="19"/>
      <c r="P4981" s="19"/>
      <c r="Q4981" s="19"/>
      <c r="R4981" s="19"/>
    </row>
    <row r="4982" spans="13:18">
      <c r="M4982" s="19"/>
      <c r="N4982" s="19"/>
      <c r="O4982" s="19"/>
      <c r="P4982" s="19"/>
      <c r="Q4982" s="19"/>
      <c r="R4982" s="19"/>
    </row>
    <row r="4983" spans="13:18">
      <c r="M4983" s="19"/>
      <c r="N4983" s="19"/>
      <c r="O4983" s="19"/>
      <c r="P4983" s="19"/>
      <c r="Q4983" s="19"/>
      <c r="R4983" s="19"/>
    </row>
    <row r="4984" spans="13:18">
      <c r="M4984" s="19"/>
      <c r="N4984" s="19"/>
      <c r="O4984" s="19"/>
      <c r="P4984" s="19"/>
      <c r="Q4984" s="19"/>
      <c r="R4984" s="19"/>
    </row>
    <row r="4985" spans="13:18">
      <c r="M4985" s="19"/>
      <c r="N4985" s="19"/>
      <c r="O4985" s="19"/>
      <c r="P4985" s="19"/>
      <c r="Q4985" s="19"/>
      <c r="R4985" s="19"/>
    </row>
    <row r="4986" spans="13:18">
      <c r="M4986" s="19"/>
      <c r="N4986" s="19"/>
      <c r="O4986" s="19"/>
      <c r="P4986" s="19"/>
      <c r="Q4986" s="19"/>
      <c r="R4986" s="19"/>
    </row>
    <row r="4987" spans="13:18">
      <c r="M4987" s="19"/>
      <c r="N4987" s="19"/>
      <c r="O4987" s="19"/>
      <c r="P4987" s="19"/>
      <c r="Q4987" s="19"/>
      <c r="R4987" s="19"/>
    </row>
    <row r="4988" spans="13:18">
      <c r="M4988" s="19"/>
      <c r="N4988" s="19"/>
      <c r="O4988" s="19"/>
      <c r="P4988" s="19"/>
      <c r="Q4988" s="19"/>
      <c r="R4988" s="19"/>
    </row>
    <row r="4989" spans="13:18">
      <c r="M4989" s="19"/>
      <c r="N4989" s="19"/>
      <c r="O4989" s="19"/>
      <c r="P4989" s="19"/>
      <c r="Q4989" s="19"/>
      <c r="R4989" s="19"/>
    </row>
    <row r="4990" spans="13:18">
      <c r="M4990" s="19"/>
      <c r="N4990" s="19"/>
      <c r="O4990" s="19"/>
      <c r="P4990" s="19"/>
      <c r="Q4990" s="19"/>
      <c r="R4990" s="19"/>
    </row>
    <row r="4991" spans="13:18">
      <c r="M4991" s="19"/>
      <c r="N4991" s="19"/>
      <c r="O4991" s="19"/>
      <c r="P4991" s="19"/>
      <c r="Q4991" s="19"/>
      <c r="R4991" s="19"/>
    </row>
    <row r="4992" spans="13:18">
      <c r="M4992" s="19"/>
      <c r="N4992" s="19"/>
      <c r="O4992" s="19"/>
      <c r="P4992" s="19"/>
      <c r="Q4992" s="19"/>
      <c r="R4992" s="19"/>
    </row>
    <row r="4993" spans="13:18">
      <c r="M4993" s="19"/>
      <c r="N4993" s="19"/>
      <c r="O4993" s="19"/>
      <c r="P4993" s="19"/>
      <c r="Q4993" s="19"/>
      <c r="R4993" s="19"/>
    </row>
    <row r="4994" spans="13:18">
      <c r="M4994" s="19"/>
      <c r="N4994" s="19"/>
      <c r="O4994" s="19"/>
      <c r="P4994" s="19"/>
      <c r="Q4994" s="19"/>
      <c r="R4994" s="19"/>
    </row>
    <row r="4995" spans="13:18">
      <c r="M4995" s="19"/>
      <c r="N4995" s="19"/>
      <c r="O4995" s="19"/>
      <c r="P4995" s="19"/>
      <c r="Q4995" s="19"/>
      <c r="R4995" s="19"/>
    </row>
    <row r="4996" spans="13:18">
      <c r="M4996" s="19"/>
      <c r="N4996" s="19"/>
      <c r="O4996" s="19"/>
      <c r="P4996" s="19"/>
      <c r="Q4996" s="19"/>
      <c r="R4996" s="19"/>
    </row>
    <row r="4997" spans="13:18">
      <c r="M4997" s="19"/>
      <c r="N4997" s="19"/>
      <c r="O4997" s="19"/>
      <c r="P4997" s="19"/>
      <c r="Q4997" s="19"/>
      <c r="R4997" s="19"/>
    </row>
    <row r="4998" spans="13:18">
      <c r="M4998" s="19"/>
      <c r="N4998" s="19"/>
      <c r="O4998" s="19"/>
      <c r="P4998" s="19"/>
      <c r="Q4998" s="19"/>
      <c r="R4998" s="19"/>
    </row>
    <row r="4999" spans="13:18">
      <c r="M4999" s="19"/>
      <c r="N4999" s="19"/>
      <c r="O4999" s="19"/>
      <c r="P4999" s="19"/>
      <c r="Q4999" s="19"/>
      <c r="R4999" s="19"/>
    </row>
    <row r="5000" spans="13:18">
      <c r="M5000" s="19"/>
      <c r="N5000" s="19"/>
      <c r="O5000" s="19"/>
      <c r="P5000" s="19"/>
      <c r="Q5000" s="19"/>
      <c r="R5000" s="19"/>
    </row>
    <row r="5001" spans="13:18">
      <c r="M5001" s="19"/>
      <c r="N5001" s="19"/>
      <c r="O5001" s="19"/>
      <c r="P5001" s="19"/>
      <c r="Q5001" s="19"/>
      <c r="R5001" s="19"/>
    </row>
    <row r="5002" spans="13:18">
      <c r="M5002" s="19"/>
      <c r="N5002" s="19"/>
      <c r="O5002" s="19"/>
      <c r="P5002" s="19"/>
      <c r="Q5002" s="19"/>
      <c r="R5002" s="19"/>
    </row>
    <row r="5003" spans="13:18">
      <c r="M5003" s="19"/>
      <c r="N5003" s="19"/>
      <c r="O5003" s="19"/>
      <c r="P5003" s="19"/>
      <c r="Q5003" s="19"/>
      <c r="R5003" s="19"/>
    </row>
    <row r="5004" spans="13:18">
      <c r="M5004" s="19"/>
      <c r="N5004" s="19"/>
      <c r="O5004" s="19"/>
      <c r="P5004" s="19"/>
      <c r="Q5004" s="19"/>
      <c r="R5004" s="19"/>
    </row>
    <row r="5005" spans="13:18">
      <c r="M5005" s="19"/>
      <c r="N5005" s="19"/>
      <c r="O5005" s="19"/>
      <c r="P5005" s="19"/>
      <c r="Q5005" s="19"/>
      <c r="R5005" s="19"/>
    </row>
    <row r="5006" spans="13:18">
      <c r="M5006" s="19"/>
      <c r="N5006" s="19"/>
      <c r="O5006" s="19"/>
      <c r="P5006" s="19"/>
      <c r="Q5006" s="19"/>
      <c r="R5006" s="19"/>
    </row>
    <row r="5007" spans="13:18">
      <c r="M5007" s="19"/>
      <c r="N5007" s="19"/>
      <c r="O5007" s="19"/>
      <c r="P5007" s="19"/>
      <c r="Q5007" s="19"/>
      <c r="R5007" s="19"/>
    </row>
    <row r="5008" spans="13:18">
      <c r="M5008" s="19"/>
      <c r="N5008" s="19"/>
      <c r="O5008" s="19"/>
      <c r="P5008" s="19"/>
      <c r="Q5008" s="19"/>
      <c r="R5008" s="19"/>
    </row>
    <row r="5009" spans="13:18">
      <c r="M5009" s="19"/>
      <c r="N5009" s="19"/>
      <c r="O5009" s="19"/>
      <c r="P5009" s="19"/>
      <c r="Q5009" s="19"/>
      <c r="R5009" s="19"/>
    </row>
    <row r="5010" spans="13:18">
      <c r="M5010" s="19"/>
      <c r="N5010" s="19"/>
      <c r="O5010" s="19"/>
      <c r="P5010" s="19"/>
      <c r="Q5010" s="19"/>
      <c r="R5010" s="19"/>
    </row>
    <row r="5011" spans="13:18">
      <c r="M5011" s="19"/>
      <c r="N5011" s="19"/>
      <c r="O5011" s="19"/>
      <c r="P5011" s="19"/>
      <c r="Q5011" s="19"/>
      <c r="R5011" s="19"/>
    </row>
    <row r="5012" spans="13:18">
      <c r="M5012" s="19"/>
      <c r="N5012" s="19"/>
      <c r="O5012" s="19"/>
      <c r="P5012" s="19"/>
      <c r="Q5012" s="19"/>
      <c r="R5012" s="19"/>
    </row>
    <row r="5013" spans="13:18">
      <c r="M5013" s="19"/>
      <c r="N5013" s="19"/>
      <c r="O5013" s="19"/>
      <c r="P5013" s="19"/>
      <c r="Q5013" s="19"/>
      <c r="R5013" s="19"/>
    </row>
    <row r="5014" spans="13:18">
      <c r="M5014" s="19"/>
      <c r="N5014" s="19"/>
      <c r="O5014" s="19"/>
      <c r="P5014" s="19"/>
      <c r="Q5014" s="19"/>
      <c r="R5014" s="19"/>
    </row>
    <row r="5015" spans="13:18">
      <c r="M5015" s="19"/>
      <c r="N5015" s="19"/>
      <c r="O5015" s="19"/>
      <c r="P5015" s="19"/>
      <c r="Q5015" s="19"/>
      <c r="R5015" s="19"/>
    </row>
    <row r="5016" spans="13:18">
      <c r="M5016" s="19"/>
      <c r="N5016" s="19"/>
      <c r="O5016" s="19"/>
      <c r="P5016" s="19"/>
      <c r="Q5016" s="19"/>
      <c r="R5016" s="19"/>
    </row>
    <row r="5017" spans="13:18">
      <c r="M5017" s="19"/>
      <c r="N5017" s="19"/>
      <c r="O5017" s="19"/>
      <c r="P5017" s="19"/>
      <c r="Q5017" s="19"/>
      <c r="R5017" s="19"/>
    </row>
    <row r="5018" spans="13:18">
      <c r="M5018" s="19"/>
      <c r="N5018" s="19"/>
      <c r="O5018" s="19"/>
      <c r="P5018" s="19"/>
      <c r="Q5018" s="19"/>
      <c r="R5018" s="19"/>
    </row>
    <row r="5019" spans="13:18">
      <c r="M5019" s="19"/>
      <c r="N5019" s="19"/>
      <c r="O5019" s="19"/>
      <c r="P5019" s="19"/>
      <c r="Q5019" s="19"/>
      <c r="R5019" s="19"/>
    </row>
    <row r="5020" spans="13:18">
      <c r="M5020" s="19"/>
      <c r="N5020" s="19"/>
      <c r="O5020" s="19"/>
      <c r="P5020" s="19"/>
      <c r="Q5020" s="19"/>
      <c r="R5020" s="19"/>
    </row>
    <row r="5021" spans="13:18">
      <c r="M5021" s="19"/>
      <c r="N5021" s="19"/>
      <c r="O5021" s="19"/>
      <c r="P5021" s="19"/>
      <c r="Q5021" s="19"/>
      <c r="R5021" s="19"/>
    </row>
    <row r="5022" spans="13:18">
      <c r="M5022" s="19"/>
      <c r="N5022" s="19"/>
      <c r="O5022" s="19"/>
      <c r="P5022" s="19"/>
      <c r="Q5022" s="19"/>
      <c r="R5022" s="19"/>
    </row>
    <row r="5023" spans="13:18">
      <c r="M5023" s="19"/>
      <c r="N5023" s="19"/>
      <c r="O5023" s="19"/>
      <c r="P5023" s="19"/>
      <c r="Q5023" s="19"/>
      <c r="R5023" s="19"/>
    </row>
    <row r="5024" spans="13:18">
      <c r="M5024" s="19"/>
      <c r="N5024" s="19"/>
      <c r="O5024" s="19"/>
      <c r="P5024" s="19"/>
      <c r="Q5024" s="19"/>
      <c r="R5024" s="19"/>
    </row>
    <row r="5025" spans="13:18">
      <c r="M5025" s="19"/>
      <c r="N5025" s="19"/>
      <c r="O5025" s="19"/>
      <c r="P5025" s="19"/>
      <c r="Q5025" s="19"/>
      <c r="R5025" s="19"/>
    </row>
    <row r="5026" spans="13:18">
      <c r="M5026" s="19"/>
      <c r="N5026" s="19"/>
      <c r="O5026" s="19"/>
      <c r="P5026" s="19"/>
      <c r="Q5026" s="19"/>
      <c r="R5026" s="19"/>
    </row>
    <row r="5027" spans="13:18">
      <c r="M5027" s="19"/>
      <c r="N5027" s="19"/>
      <c r="O5027" s="19"/>
      <c r="P5027" s="19"/>
      <c r="Q5027" s="19"/>
      <c r="R5027" s="19"/>
    </row>
    <row r="5028" spans="13:18">
      <c r="M5028" s="19"/>
      <c r="N5028" s="19"/>
      <c r="O5028" s="19"/>
      <c r="P5028" s="19"/>
      <c r="Q5028" s="19"/>
      <c r="R5028" s="19"/>
    </row>
    <row r="5029" spans="13:18">
      <c r="M5029" s="19"/>
      <c r="N5029" s="19"/>
      <c r="O5029" s="19"/>
      <c r="P5029" s="19"/>
      <c r="Q5029" s="19"/>
      <c r="R5029" s="19"/>
    </row>
    <row r="5030" spans="13:18">
      <c r="M5030" s="19"/>
      <c r="N5030" s="19"/>
      <c r="O5030" s="19"/>
      <c r="P5030" s="19"/>
      <c r="Q5030" s="19"/>
      <c r="R5030" s="19"/>
    </row>
    <row r="5031" spans="13:18">
      <c r="M5031" s="19"/>
      <c r="N5031" s="19"/>
      <c r="O5031" s="19"/>
      <c r="P5031" s="19"/>
      <c r="Q5031" s="19"/>
      <c r="R5031" s="19"/>
    </row>
    <row r="5032" spans="13:18">
      <c r="M5032" s="19"/>
      <c r="N5032" s="19"/>
      <c r="O5032" s="19"/>
      <c r="P5032" s="19"/>
      <c r="Q5032" s="19"/>
      <c r="R5032" s="19"/>
    </row>
    <row r="5033" spans="13:18">
      <c r="M5033" s="19"/>
      <c r="N5033" s="19"/>
      <c r="O5033" s="19"/>
      <c r="P5033" s="19"/>
      <c r="Q5033" s="19"/>
      <c r="R5033" s="19"/>
    </row>
    <row r="5034" spans="13:18">
      <c r="M5034" s="19"/>
      <c r="N5034" s="19"/>
      <c r="O5034" s="19"/>
      <c r="P5034" s="19"/>
      <c r="Q5034" s="19"/>
      <c r="R5034" s="19"/>
    </row>
    <row r="5035" spans="13:18">
      <c r="M5035" s="19"/>
      <c r="N5035" s="19"/>
      <c r="O5035" s="19"/>
      <c r="P5035" s="19"/>
      <c r="Q5035" s="19"/>
      <c r="R5035" s="19"/>
    </row>
    <row r="5036" spans="13:18">
      <c r="M5036" s="19"/>
      <c r="N5036" s="19"/>
      <c r="O5036" s="19"/>
      <c r="P5036" s="19"/>
      <c r="Q5036" s="19"/>
      <c r="R5036" s="19"/>
    </row>
    <row r="5037" spans="13:18">
      <c r="M5037" s="19"/>
      <c r="N5037" s="19"/>
      <c r="O5037" s="19"/>
      <c r="P5037" s="19"/>
      <c r="Q5037" s="19"/>
      <c r="R5037" s="19"/>
    </row>
    <row r="5038" spans="13:18">
      <c r="M5038" s="19"/>
      <c r="N5038" s="19"/>
      <c r="O5038" s="19"/>
      <c r="P5038" s="19"/>
      <c r="Q5038" s="19"/>
      <c r="R5038" s="19"/>
    </row>
    <row r="5039" spans="13:18">
      <c r="M5039" s="19"/>
      <c r="N5039" s="19"/>
      <c r="O5039" s="19"/>
      <c r="P5039" s="19"/>
      <c r="Q5039" s="19"/>
      <c r="R5039" s="19"/>
    </row>
    <row r="5040" spans="13:18">
      <c r="M5040" s="19"/>
      <c r="N5040" s="19"/>
      <c r="O5040" s="19"/>
      <c r="P5040" s="19"/>
      <c r="Q5040" s="19"/>
      <c r="R5040" s="19"/>
    </row>
    <row r="5041" spans="13:18">
      <c r="M5041" s="19"/>
      <c r="N5041" s="19"/>
      <c r="O5041" s="19"/>
      <c r="P5041" s="19"/>
      <c r="Q5041" s="19"/>
      <c r="R5041" s="19"/>
    </row>
    <row r="5042" spans="13:18">
      <c r="M5042" s="19"/>
      <c r="N5042" s="19"/>
      <c r="O5042" s="19"/>
      <c r="P5042" s="19"/>
      <c r="Q5042" s="19"/>
      <c r="R5042" s="19"/>
    </row>
    <row r="5043" spans="13:18">
      <c r="M5043" s="19"/>
      <c r="N5043" s="19"/>
      <c r="O5043" s="19"/>
      <c r="P5043" s="19"/>
      <c r="Q5043" s="19"/>
      <c r="R5043" s="19"/>
    </row>
    <row r="5044" spans="13:18">
      <c r="M5044" s="19"/>
      <c r="N5044" s="19"/>
      <c r="O5044" s="19"/>
      <c r="P5044" s="19"/>
      <c r="Q5044" s="19"/>
      <c r="R5044" s="19"/>
    </row>
    <row r="5045" spans="13:18">
      <c r="M5045" s="19"/>
      <c r="N5045" s="19"/>
      <c r="O5045" s="19"/>
      <c r="P5045" s="19"/>
      <c r="Q5045" s="19"/>
      <c r="R5045" s="19"/>
    </row>
    <row r="5046" spans="13:18">
      <c r="M5046" s="19"/>
      <c r="N5046" s="19"/>
      <c r="O5046" s="19"/>
      <c r="P5046" s="19"/>
      <c r="Q5046" s="19"/>
      <c r="R5046" s="19"/>
    </row>
    <row r="5047" spans="13:18">
      <c r="M5047" s="19"/>
      <c r="N5047" s="19"/>
      <c r="O5047" s="19"/>
      <c r="P5047" s="19"/>
      <c r="Q5047" s="19"/>
      <c r="R5047" s="19"/>
    </row>
    <row r="5048" spans="13:18">
      <c r="M5048" s="19"/>
      <c r="N5048" s="19"/>
      <c r="O5048" s="19"/>
      <c r="P5048" s="19"/>
      <c r="Q5048" s="19"/>
      <c r="R5048" s="19"/>
    </row>
    <row r="5049" spans="13:18">
      <c r="M5049" s="19"/>
      <c r="N5049" s="19"/>
      <c r="O5049" s="19"/>
      <c r="P5049" s="19"/>
      <c r="Q5049" s="19"/>
      <c r="R5049" s="19"/>
    </row>
    <row r="5050" spans="13:18">
      <c r="M5050" s="19"/>
      <c r="N5050" s="19"/>
      <c r="O5050" s="19"/>
      <c r="P5050" s="19"/>
      <c r="Q5050" s="19"/>
      <c r="R5050" s="19"/>
    </row>
    <row r="5051" spans="13:18">
      <c r="M5051" s="19"/>
      <c r="N5051" s="19"/>
      <c r="O5051" s="19"/>
      <c r="P5051" s="19"/>
      <c r="Q5051" s="19"/>
      <c r="R5051" s="19"/>
    </row>
    <row r="5052" spans="13:18">
      <c r="M5052" s="19"/>
      <c r="N5052" s="19"/>
      <c r="O5052" s="19"/>
      <c r="P5052" s="19"/>
      <c r="Q5052" s="19"/>
      <c r="R5052" s="19"/>
    </row>
    <row r="5053" spans="13:18">
      <c r="M5053" s="19"/>
      <c r="N5053" s="19"/>
      <c r="O5053" s="19"/>
      <c r="P5053" s="19"/>
      <c r="Q5053" s="19"/>
      <c r="R5053" s="19"/>
    </row>
    <row r="5054" spans="13:18">
      <c r="M5054" s="19"/>
      <c r="N5054" s="19"/>
      <c r="O5054" s="19"/>
      <c r="P5054" s="19"/>
      <c r="Q5054" s="19"/>
      <c r="R5054" s="19"/>
    </row>
    <row r="5055" spans="13:18">
      <c r="M5055" s="19"/>
      <c r="N5055" s="19"/>
      <c r="O5055" s="19"/>
      <c r="P5055" s="19"/>
      <c r="Q5055" s="19"/>
      <c r="R5055" s="19"/>
    </row>
    <row r="5056" spans="13:18">
      <c r="M5056" s="19"/>
      <c r="N5056" s="19"/>
      <c r="O5056" s="19"/>
      <c r="P5056" s="19"/>
      <c r="Q5056" s="19"/>
      <c r="R5056" s="19"/>
    </row>
    <row r="5057" spans="13:18">
      <c r="M5057" s="19"/>
      <c r="N5057" s="19"/>
      <c r="O5057" s="19"/>
      <c r="P5057" s="19"/>
      <c r="Q5057" s="19"/>
      <c r="R5057" s="19"/>
    </row>
    <row r="5058" spans="13:18">
      <c r="M5058" s="19"/>
      <c r="N5058" s="19"/>
      <c r="O5058" s="19"/>
      <c r="P5058" s="19"/>
      <c r="Q5058" s="19"/>
      <c r="R5058" s="19"/>
    </row>
    <row r="5059" spans="13:18">
      <c r="M5059" s="19"/>
      <c r="N5059" s="19"/>
      <c r="O5059" s="19"/>
      <c r="P5059" s="19"/>
      <c r="Q5059" s="19"/>
      <c r="R5059" s="19"/>
    </row>
    <row r="5060" spans="13:18">
      <c r="M5060" s="19"/>
      <c r="N5060" s="19"/>
      <c r="O5060" s="19"/>
      <c r="P5060" s="19"/>
      <c r="Q5060" s="19"/>
      <c r="R5060" s="19"/>
    </row>
    <row r="5061" spans="13:18">
      <c r="M5061" s="19"/>
      <c r="N5061" s="19"/>
      <c r="O5061" s="19"/>
      <c r="P5061" s="19"/>
      <c r="Q5061" s="19"/>
      <c r="R5061" s="19"/>
    </row>
    <row r="5062" spans="13:18">
      <c r="M5062" s="19"/>
      <c r="N5062" s="19"/>
      <c r="O5062" s="19"/>
      <c r="P5062" s="19"/>
      <c r="Q5062" s="19"/>
      <c r="R5062" s="19"/>
    </row>
    <row r="5063" spans="13:18">
      <c r="M5063" s="19"/>
      <c r="N5063" s="19"/>
      <c r="O5063" s="19"/>
      <c r="P5063" s="19"/>
      <c r="Q5063" s="19"/>
      <c r="R5063" s="19"/>
    </row>
    <row r="5064" spans="13:18">
      <c r="M5064" s="19"/>
      <c r="N5064" s="19"/>
      <c r="O5064" s="19"/>
      <c r="P5064" s="19"/>
      <c r="Q5064" s="19"/>
      <c r="R5064" s="19"/>
    </row>
    <row r="5065" spans="13:18">
      <c r="M5065" s="19"/>
      <c r="N5065" s="19"/>
      <c r="O5065" s="19"/>
      <c r="P5065" s="19"/>
      <c r="Q5065" s="19"/>
      <c r="R5065" s="19"/>
    </row>
    <row r="5066" spans="13:18">
      <c r="M5066" s="19"/>
      <c r="N5066" s="19"/>
      <c r="O5066" s="19"/>
      <c r="P5066" s="19"/>
      <c r="Q5066" s="19"/>
      <c r="R5066" s="19"/>
    </row>
    <row r="5067" spans="13:18">
      <c r="M5067" s="19"/>
      <c r="N5067" s="19"/>
      <c r="O5067" s="19"/>
      <c r="P5067" s="19"/>
      <c r="Q5067" s="19"/>
      <c r="R5067" s="19"/>
    </row>
    <row r="5068" spans="13:18">
      <c r="M5068" s="19"/>
      <c r="N5068" s="19"/>
      <c r="O5068" s="19"/>
      <c r="P5068" s="19"/>
      <c r="Q5068" s="19"/>
      <c r="R5068" s="19"/>
    </row>
    <row r="5069" spans="13:18">
      <c r="M5069" s="19"/>
      <c r="N5069" s="19"/>
      <c r="O5069" s="19"/>
      <c r="P5069" s="19"/>
      <c r="Q5069" s="19"/>
      <c r="R5069" s="19"/>
    </row>
    <row r="5070" spans="13:18">
      <c r="M5070" s="19"/>
      <c r="N5070" s="19"/>
      <c r="O5070" s="19"/>
      <c r="P5070" s="19"/>
      <c r="Q5070" s="19"/>
      <c r="R5070" s="19"/>
    </row>
    <row r="5071" spans="13:18">
      <c r="M5071" s="19"/>
      <c r="N5071" s="19"/>
      <c r="O5071" s="19"/>
      <c r="P5071" s="19"/>
      <c r="Q5071" s="19"/>
      <c r="R5071" s="19"/>
    </row>
    <row r="5072" spans="13:18">
      <c r="M5072" s="19"/>
      <c r="N5072" s="19"/>
      <c r="O5072" s="19"/>
      <c r="P5072" s="19"/>
      <c r="Q5072" s="19"/>
      <c r="R5072" s="19"/>
    </row>
    <row r="5073" spans="13:18">
      <c r="M5073" s="19"/>
      <c r="N5073" s="19"/>
      <c r="O5073" s="19"/>
      <c r="P5073" s="19"/>
      <c r="Q5073" s="19"/>
      <c r="R5073" s="19"/>
    </row>
    <row r="5074" spans="13:18">
      <c r="M5074" s="19"/>
      <c r="N5074" s="19"/>
      <c r="O5074" s="19"/>
      <c r="P5074" s="19"/>
      <c r="Q5074" s="19"/>
      <c r="R5074" s="19"/>
    </row>
    <row r="5075" spans="13:18">
      <c r="M5075" s="19"/>
      <c r="N5075" s="19"/>
      <c r="O5075" s="19"/>
      <c r="P5075" s="19"/>
      <c r="Q5075" s="19"/>
      <c r="R5075" s="19"/>
    </row>
    <row r="5076" spans="13:18">
      <c r="M5076" s="19"/>
      <c r="N5076" s="19"/>
      <c r="O5076" s="19"/>
      <c r="P5076" s="19"/>
      <c r="Q5076" s="19"/>
      <c r="R5076" s="19"/>
    </row>
    <row r="5077" spans="13:18">
      <c r="M5077" s="19"/>
      <c r="N5077" s="19"/>
      <c r="O5077" s="19"/>
      <c r="P5077" s="19"/>
      <c r="Q5077" s="19"/>
      <c r="R5077" s="19"/>
    </row>
    <row r="5078" spans="13:18">
      <c r="M5078" s="19"/>
      <c r="N5078" s="19"/>
      <c r="O5078" s="19"/>
      <c r="P5078" s="19"/>
      <c r="Q5078" s="19"/>
      <c r="R5078" s="19"/>
    </row>
    <row r="5079" spans="13:18">
      <c r="M5079" s="19"/>
      <c r="N5079" s="19"/>
      <c r="O5079" s="19"/>
      <c r="P5079" s="19"/>
      <c r="Q5079" s="19"/>
      <c r="R5079" s="19"/>
    </row>
    <row r="5080" spans="13:18">
      <c r="M5080" s="19"/>
      <c r="N5080" s="19"/>
      <c r="O5080" s="19"/>
      <c r="P5080" s="19"/>
      <c r="Q5080" s="19"/>
      <c r="R5080" s="19"/>
    </row>
    <row r="5081" spans="13:18">
      <c r="M5081" s="19"/>
      <c r="N5081" s="19"/>
      <c r="O5081" s="19"/>
      <c r="P5081" s="19"/>
      <c r="Q5081" s="19"/>
      <c r="R5081" s="19"/>
    </row>
    <row r="5082" spans="13:18">
      <c r="M5082" s="19"/>
      <c r="N5082" s="19"/>
      <c r="O5082" s="19"/>
      <c r="P5082" s="19"/>
      <c r="Q5082" s="19"/>
      <c r="R5082" s="19"/>
    </row>
    <row r="5083" spans="13:18">
      <c r="M5083" s="19"/>
      <c r="N5083" s="19"/>
      <c r="O5083" s="19"/>
      <c r="P5083" s="19"/>
      <c r="Q5083" s="19"/>
      <c r="R5083" s="19"/>
    </row>
    <row r="5084" spans="13:18">
      <c r="M5084" s="19"/>
      <c r="N5084" s="19"/>
      <c r="O5084" s="19"/>
      <c r="P5084" s="19"/>
      <c r="Q5084" s="19"/>
      <c r="R5084" s="19"/>
    </row>
    <row r="5085" spans="13:18">
      <c r="M5085" s="19"/>
      <c r="N5085" s="19"/>
      <c r="O5085" s="19"/>
      <c r="P5085" s="19"/>
      <c r="Q5085" s="19"/>
      <c r="R5085" s="19"/>
    </row>
    <row r="5086" spans="13:18">
      <c r="M5086" s="19"/>
      <c r="N5086" s="19"/>
      <c r="O5086" s="19"/>
      <c r="P5086" s="19"/>
      <c r="Q5086" s="19"/>
      <c r="R5086" s="19"/>
    </row>
    <row r="5087" spans="13:18">
      <c r="M5087" s="19"/>
      <c r="N5087" s="19"/>
      <c r="O5087" s="19"/>
      <c r="P5087" s="19"/>
      <c r="Q5087" s="19"/>
      <c r="R5087" s="19"/>
    </row>
    <row r="5088" spans="13:18">
      <c r="M5088" s="19"/>
      <c r="N5088" s="19"/>
      <c r="O5088" s="19"/>
      <c r="P5088" s="19"/>
      <c r="Q5088" s="19"/>
      <c r="R5088" s="19"/>
    </row>
    <row r="5089" spans="13:18">
      <c r="M5089" s="19"/>
      <c r="N5089" s="19"/>
      <c r="O5089" s="19"/>
      <c r="P5089" s="19"/>
      <c r="Q5089" s="19"/>
      <c r="R5089" s="19"/>
    </row>
    <row r="5090" spans="13:18">
      <c r="M5090" s="19"/>
      <c r="N5090" s="19"/>
      <c r="O5090" s="19"/>
      <c r="P5090" s="19"/>
      <c r="Q5090" s="19"/>
      <c r="R5090" s="19"/>
    </row>
    <row r="5091" spans="13:18">
      <c r="M5091" s="19"/>
      <c r="N5091" s="19"/>
      <c r="O5091" s="19"/>
      <c r="P5091" s="19"/>
      <c r="Q5091" s="19"/>
      <c r="R5091" s="19"/>
    </row>
    <row r="5092" spans="13:18">
      <c r="M5092" s="19"/>
      <c r="N5092" s="19"/>
      <c r="O5092" s="19"/>
      <c r="P5092" s="19"/>
      <c r="Q5092" s="19"/>
      <c r="R5092" s="19"/>
    </row>
    <row r="5093" spans="13:18">
      <c r="M5093" s="19"/>
      <c r="N5093" s="19"/>
      <c r="O5093" s="19"/>
      <c r="P5093" s="19"/>
      <c r="Q5093" s="19"/>
      <c r="R5093" s="19"/>
    </row>
    <row r="5094" spans="13:18">
      <c r="M5094" s="19"/>
      <c r="N5094" s="19"/>
      <c r="O5094" s="19"/>
      <c r="P5094" s="19"/>
      <c r="Q5094" s="19"/>
      <c r="R5094" s="19"/>
    </row>
    <row r="5095" spans="13:18">
      <c r="M5095" s="19"/>
      <c r="N5095" s="19"/>
      <c r="O5095" s="19"/>
      <c r="P5095" s="19"/>
      <c r="Q5095" s="19"/>
      <c r="R5095" s="19"/>
    </row>
    <row r="5096" spans="13:18">
      <c r="M5096" s="19"/>
      <c r="N5096" s="19"/>
      <c r="O5096" s="19"/>
      <c r="P5096" s="19"/>
      <c r="Q5096" s="19"/>
      <c r="R5096" s="19"/>
    </row>
    <row r="5097" spans="13:18">
      <c r="M5097" s="19"/>
      <c r="N5097" s="19"/>
      <c r="O5097" s="19"/>
      <c r="P5097" s="19"/>
      <c r="Q5097" s="19"/>
      <c r="R5097" s="19"/>
    </row>
    <row r="5098" spans="13:18">
      <c r="M5098" s="19"/>
      <c r="N5098" s="19"/>
      <c r="O5098" s="19"/>
      <c r="P5098" s="19"/>
      <c r="Q5098" s="19"/>
      <c r="R5098" s="19"/>
    </row>
    <row r="5099" spans="13:18">
      <c r="M5099" s="19"/>
      <c r="N5099" s="19"/>
      <c r="O5099" s="19"/>
      <c r="P5099" s="19"/>
      <c r="Q5099" s="19"/>
      <c r="R5099" s="19"/>
    </row>
    <row r="5100" spans="13:18">
      <c r="M5100" s="19"/>
      <c r="N5100" s="19"/>
      <c r="O5100" s="19"/>
      <c r="P5100" s="19"/>
      <c r="Q5100" s="19"/>
      <c r="R5100" s="19"/>
    </row>
    <row r="5101" spans="13:18">
      <c r="M5101" s="19"/>
      <c r="N5101" s="19"/>
      <c r="O5101" s="19"/>
      <c r="P5101" s="19"/>
      <c r="Q5101" s="19"/>
      <c r="R5101" s="19"/>
    </row>
    <row r="5102" spans="13:18">
      <c r="M5102" s="19"/>
      <c r="N5102" s="19"/>
      <c r="O5102" s="19"/>
      <c r="P5102" s="19"/>
      <c r="Q5102" s="19"/>
      <c r="R5102" s="19"/>
    </row>
    <row r="5103" spans="13:18">
      <c r="M5103" s="19"/>
      <c r="N5103" s="19"/>
      <c r="O5103" s="19"/>
      <c r="P5103" s="19"/>
      <c r="Q5103" s="19"/>
      <c r="R5103" s="19"/>
    </row>
    <row r="5104" spans="13:18">
      <c r="M5104" s="19"/>
      <c r="N5104" s="19"/>
      <c r="O5104" s="19"/>
      <c r="P5104" s="19"/>
      <c r="Q5104" s="19"/>
      <c r="R5104" s="19"/>
    </row>
    <row r="5105" spans="13:18">
      <c r="M5105" s="19"/>
      <c r="N5105" s="19"/>
      <c r="O5105" s="19"/>
      <c r="P5105" s="19"/>
      <c r="Q5105" s="19"/>
      <c r="R5105" s="19"/>
    </row>
    <row r="5106" spans="13:18">
      <c r="M5106" s="19"/>
      <c r="N5106" s="19"/>
      <c r="O5106" s="19"/>
      <c r="P5106" s="19"/>
      <c r="Q5106" s="19"/>
      <c r="R5106" s="19"/>
    </row>
    <row r="5107" spans="13:18">
      <c r="M5107" s="19"/>
      <c r="N5107" s="19"/>
      <c r="O5107" s="19"/>
      <c r="P5107" s="19"/>
      <c r="Q5107" s="19"/>
      <c r="R5107" s="19"/>
    </row>
    <row r="5108" spans="13:18">
      <c r="M5108" s="19"/>
      <c r="N5108" s="19"/>
      <c r="O5108" s="19"/>
      <c r="P5108" s="19"/>
      <c r="Q5108" s="19"/>
      <c r="R5108" s="19"/>
    </row>
    <row r="5109" spans="13:18">
      <c r="M5109" s="19"/>
      <c r="N5109" s="19"/>
      <c r="O5109" s="19"/>
      <c r="P5109" s="19"/>
      <c r="Q5109" s="19"/>
      <c r="R5109" s="19"/>
    </row>
    <row r="5110" spans="13:18">
      <c r="M5110" s="19"/>
      <c r="N5110" s="19"/>
      <c r="O5110" s="19"/>
      <c r="P5110" s="19"/>
      <c r="Q5110" s="19"/>
      <c r="R5110" s="19"/>
    </row>
    <row r="5111" spans="13:18">
      <c r="M5111" s="19"/>
      <c r="N5111" s="19"/>
      <c r="O5111" s="19"/>
      <c r="P5111" s="19"/>
      <c r="Q5111" s="19"/>
      <c r="R5111" s="19"/>
    </row>
    <row r="5112" spans="13:18">
      <c r="M5112" s="19"/>
      <c r="N5112" s="19"/>
      <c r="O5112" s="19"/>
      <c r="P5112" s="19"/>
      <c r="Q5112" s="19"/>
      <c r="R5112" s="19"/>
    </row>
    <row r="5113" spans="13:18">
      <c r="M5113" s="19"/>
      <c r="N5113" s="19"/>
      <c r="O5113" s="19"/>
      <c r="P5113" s="19"/>
      <c r="Q5113" s="19"/>
      <c r="R5113" s="19"/>
    </row>
    <row r="5114" spans="13:18">
      <c r="M5114" s="19"/>
      <c r="N5114" s="19"/>
      <c r="O5114" s="19"/>
      <c r="P5114" s="19"/>
      <c r="Q5114" s="19"/>
      <c r="R5114" s="19"/>
    </row>
    <row r="5115" spans="13:18">
      <c r="M5115" s="19"/>
      <c r="N5115" s="19"/>
      <c r="O5115" s="19"/>
      <c r="P5115" s="19"/>
      <c r="Q5115" s="19"/>
      <c r="R5115" s="19"/>
    </row>
    <row r="5116" spans="13:18">
      <c r="M5116" s="19"/>
      <c r="N5116" s="19"/>
      <c r="O5116" s="19"/>
      <c r="P5116" s="19"/>
      <c r="Q5116" s="19"/>
      <c r="R5116" s="19"/>
    </row>
    <row r="5117" spans="13:18">
      <c r="M5117" s="19"/>
      <c r="N5117" s="19"/>
      <c r="O5117" s="19"/>
      <c r="P5117" s="19"/>
      <c r="Q5117" s="19"/>
      <c r="R5117" s="19"/>
    </row>
    <row r="5118" spans="13:18">
      <c r="M5118" s="19"/>
      <c r="N5118" s="19"/>
      <c r="O5118" s="19"/>
      <c r="P5118" s="19"/>
      <c r="Q5118" s="19"/>
      <c r="R5118" s="19"/>
    </row>
    <row r="5119" spans="13:18">
      <c r="M5119" s="19"/>
      <c r="N5119" s="19"/>
      <c r="O5119" s="19"/>
      <c r="P5119" s="19"/>
      <c r="Q5119" s="19"/>
      <c r="R5119" s="19"/>
    </row>
    <row r="5120" spans="13:18">
      <c r="M5120" s="19"/>
      <c r="N5120" s="19"/>
      <c r="O5120" s="19"/>
      <c r="P5120" s="19"/>
      <c r="Q5120" s="19"/>
      <c r="R5120" s="19"/>
    </row>
    <row r="5121" spans="13:18">
      <c r="M5121" s="19"/>
      <c r="N5121" s="19"/>
      <c r="O5121" s="19"/>
      <c r="P5121" s="19"/>
      <c r="Q5121" s="19"/>
      <c r="R5121" s="19"/>
    </row>
    <row r="5122" spans="13:18">
      <c r="M5122" s="19"/>
      <c r="N5122" s="19"/>
      <c r="O5122" s="19"/>
      <c r="P5122" s="19"/>
      <c r="Q5122" s="19"/>
      <c r="R5122" s="19"/>
    </row>
    <row r="5123" spans="13:18">
      <c r="M5123" s="19"/>
      <c r="N5123" s="19"/>
      <c r="O5123" s="19"/>
      <c r="P5123" s="19"/>
      <c r="Q5123" s="19"/>
      <c r="R5123" s="19"/>
    </row>
    <row r="5124" spans="13:18">
      <c r="M5124" s="19"/>
      <c r="N5124" s="19"/>
      <c r="O5124" s="19"/>
      <c r="P5124" s="19"/>
      <c r="Q5124" s="19"/>
      <c r="R5124" s="19"/>
    </row>
    <row r="5125" spans="13:18">
      <c r="M5125" s="19"/>
      <c r="N5125" s="19"/>
      <c r="O5125" s="19"/>
      <c r="P5125" s="19"/>
      <c r="Q5125" s="19"/>
      <c r="R5125" s="19"/>
    </row>
    <row r="5126" spans="13:18">
      <c r="M5126" s="19"/>
      <c r="N5126" s="19"/>
      <c r="O5126" s="19"/>
      <c r="P5126" s="19"/>
      <c r="Q5126" s="19"/>
      <c r="R5126" s="19"/>
    </row>
    <row r="5127" spans="13:18">
      <c r="M5127" s="19"/>
      <c r="N5127" s="19"/>
      <c r="O5127" s="19"/>
      <c r="P5127" s="19"/>
      <c r="Q5127" s="19"/>
      <c r="R5127" s="19"/>
    </row>
    <row r="5128" spans="13:18">
      <c r="M5128" s="19"/>
      <c r="N5128" s="19"/>
      <c r="O5128" s="19"/>
      <c r="P5128" s="19"/>
      <c r="Q5128" s="19"/>
      <c r="R5128" s="19"/>
    </row>
    <row r="5129" spans="13:18">
      <c r="M5129" s="19"/>
      <c r="N5129" s="19"/>
      <c r="O5129" s="19"/>
      <c r="P5129" s="19"/>
      <c r="Q5129" s="19"/>
      <c r="R5129" s="19"/>
    </row>
    <row r="5130" spans="13:18">
      <c r="M5130" s="19"/>
      <c r="N5130" s="19"/>
      <c r="O5130" s="19"/>
      <c r="P5130" s="19"/>
      <c r="Q5130" s="19"/>
      <c r="R5130" s="19"/>
    </row>
    <row r="5131" spans="13:18">
      <c r="M5131" s="19"/>
      <c r="N5131" s="19"/>
      <c r="O5131" s="19"/>
      <c r="P5131" s="19"/>
      <c r="Q5131" s="19"/>
      <c r="R5131" s="19"/>
    </row>
    <row r="5132" spans="13:18">
      <c r="M5132" s="19"/>
      <c r="N5132" s="19"/>
      <c r="O5132" s="19"/>
      <c r="P5132" s="19"/>
      <c r="Q5132" s="19"/>
      <c r="R5132" s="19"/>
    </row>
    <row r="5133" spans="13:18">
      <c r="M5133" s="19"/>
      <c r="N5133" s="19"/>
      <c r="O5133" s="19"/>
      <c r="P5133" s="19"/>
      <c r="Q5133" s="19"/>
      <c r="R5133" s="19"/>
    </row>
    <row r="5134" spans="13:18">
      <c r="M5134" s="19"/>
      <c r="N5134" s="19"/>
      <c r="O5134" s="19"/>
      <c r="P5134" s="19"/>
      <c r="Q5134" s="19"/>
      <c r="R5134" s="19"/>
    </row>
    <row r="5135" spans="13:18">
      <c r="M5135" s="19"/>
      <c r="N5135" s="19"/>
      <c r="O5135" s="19"/>
      <c r="P5135" s="19"/>
      <c r="Q5135" s="19"/>
      <c r="R5135" s="19"/>
    </row>
    <row r="5136" spans="13:18">
      <c r="M5136" s="19"/>
      <c r="N5136" s="19"/>
      <c r="O5136" s="19"/>
      <c r="P5136" s="19"/>
      <c r="Q5136" s="19"/>
      <c r="R5136" s="19"/>
    </row>
    <row r="5137" spans="13:18">
      <c r="M5137" s="19"/>
      <c r="N5137" s="19"/>
      <c r="O5137" s="19"/>
      <c r="P5137" s="19"/>
      <c r="Q5137" s="19"/>
      <c r="R5137" s="19"/>
    </row>
    <row r="5138" spans="13:18">
      <c r="M5138" s="19"/>
      <c r="N5138" s="19"/>
      <c r="O5138" s="19"/>
      <c r="P5138" s="19"/>
      <c r="Q5138" s="19"/>
      <c r="R5138" s="19"/>
    </row>
    <row r="5139" spans="13:18">
      <c r="M5139" s="19"/>
      <c r="N5139" s="19"/>
      <c r="O5139" s="19"/>
      <c r="P5139" s="19"/>
      <c r="Q5139" s="19"/>
      <c r="R5139" s="19"/>
    </row>
    <row r="5140" spans="13:18">
      <c r="M5140" s="19"/>
      <c r="N5140" s="19"/>
      <c r="O5140" s="19"/>
      <c r="P5140" s="19"/>
      <c r="Q5140" s="19"/>
      <c r="R5140" s="19"/>
    </row>
    <row r="5141" spans="13:18">
      <c r="M5141" s="19"/>
      <c r="N5141" s="19"/>
      <c r="O5141" s="19"/>
      <c r="P5141" s="19"/>
      <c r="Q5141" s="19"/>
      <c r="R5141" s="19"/>
    </row>
    <row r="5142" spans="13:18">
      <c r="M5142" s="19"/>
      <c r="N5142" s="19"/>
      <c r="O5142" s="19"/>
      <c r="P5142" s="19"/>
      <c r="Q5142" s="19"/>
      <c r="R5142" s="19"/>
    </row>
    <row r="5143" spans="13:18">
      <c r="M5143" s="19"/>
      <c r="N5143" s="19"/>
      <c r="O5143" s="19"/>
      <c r="P5143" s="19"/>
      <c r="Q5143" s="19"/>
      <c r="R5143" s="19"/>
    </row>
    <row r="5144" spans="13:18">
      <c r="M5144" s="19"/>
      <c r="N5144" s="19"/>
      <c r="O5144" s="19"/>
      <c r="P5144" s="19"/>
      <c r="Q5144" s="19"/>
      <c r="R5144" s="19"/>
    </row>
    <row r="5145" spans="13:18">
      <c r="M5145" s="19"/>
      <c r="N5145" s="19"/>
      <c r="O5145" s="19"/>
      <c r="P5145" s="19"/>
      <c r="Q5145" s="19"/>
      <c r="R5145" s="19"/>
    </row>
    <row r="5146" spans="13:18">
      <c r="M5146" s="19"/>
      <c r="N5146" s="19"/>
      <c r="O5146" s="19"/>
      <c r="P5146" s="19"/>
      <c r="Q5146" s="19"/>
      <c r="R5146" s="19"/>
    </row>
    <row r="5147" spans="13:18">
      <c r="M5147" s="19"/>
      <c r="N5147" s="19"/>
      <c r="O5147" s="19"/>
      <c r="P5147" s="19"/>
      <c r="Q5147" s="19"/>
      <c r="R5147" s="19"/>
    </row>
    <row r="5148" spans="13:18">
      <c r="M5148" s="19"/>
      <c r="N5148" s="19"/>
      <c r="O5148" s="19"/>
      <c r="P5148" s="19"/>
      <c r="Q5148" s="19"/>
      <c r="R5148" s="19"/>
    </row>
    <row r="5149" spans="13:18">
      <c r="M5149" s="19"/>
      <c r="N5149" s="19"/>
      <c r="O5149" s="19"/>
      <c r="P5149" s="19"/>
      <c r="Q5149" s="19"/>
      <c r="R5149" s="19"/>
    </row>
    <row r="5150" spans="13:18">
      <c r="M5150" s="19"/>
      <c r="N5150" s="19"/>
      <c r="O5150" s="19"/>
      <c r="P5150" s="19"/>
      <c r="Q5150" s="19"/>
      <c r="R5150" s="19"/>
    </row>
    <row r="5151" spans="13:18">
      <c r="M5151" s="19"/>
      <c r="N5151" s="19"/>
      <c r="O5151" s="19"/>
      <c r="P5151" s="19"/>
      <c r="Q5151" s="19"/>
      <c r="R5151" s="19"/>
    </row>
    <row r="5152" spans="13:18">
      <c r="M5152" s="19"/>
      <c r="N5152" s="19"/>
      <c r="O5152" s="19"/>
      <c r="P5152" s="19"/>
      <c r="Q5152" s="19"/>
      <c r="R5152" s="19"/>
    </row>
    <row r="5153" spans="13:18">
      <c r="M5153" s="19"/>
      <c r="N5153" s="19"/>
      <c r="O5153" s="19"/>
      <c r="P5153" s="19"/>
      <c r="Q5153" s="19"/>
      <c r="R5153" s="19"/>
    </row>
    <row r="5154" spans="13:18">
      <c r="M5154" s="19"/>
      <c r="N5154" s="19"/>
      <c r="O5154" s="19"/>
      <c r="P5154" s="19"/>
      <c r="Q5154" s="19"/>
      <c r="R5154" s="19"/>
    </row>
    <row r="5155" spans="13:18">
      <c r="M5155" s="19"/>
      <c r="N5155" s="19"/>
      <c r="O5155" s="19"/>
      <c r="P5155" s="19"/>
      <c r="Q5155" s="19"/>
      <c r="R5155" s="19"/>
    </row>
    <row r="5156" spans="13:18">
      <c r="M5156" s="19"/>
      <c r="N5156" s="19"/>
      <c r="O5156" s="19"/>
      <c r="P5156" s="19"/>
      <c r="Q5156" s="19"/>
      <c r="R5156" s="19"/>
    </row>
    <row r="5157" spans="13:18">
      <c r="M5157" s="19"/>
      <c r="N5157" s="19"/>
      <c r="O5157" s="19"/>
      <c r="P5157" s="19"/>
      <c r="Q5157" s="19"/>
      <c r="R5157" s="19"/>
    </row>
    <row r="5158" spans="13:18">
      <c r="M5158" s="19"/>
      <c r="N5158" s="19"/>
      <c r="O5158" s="19"/>
      <c r="P5158" s="19"/>
      <c r="Q5158" s="19"/>
      <c r="R5158" s="19"/>
    </row>
    <row r="5159" spans="13:18">
      <c r="M5159" s="19"/>
      <c r="N5159" s="19"/>
      <c r="O5159" s="19"/>
      <c r="P5159" s="19"/>
      <c r="Q5159" s="19"/>
      <c r="R5159" s="19"/>
    </row>
    <row r="5160" spans="13:18">
      <c r="M5160" s="19"/>
      <c r="N5160" s="19"/>
      <c r="O5160" s="19"/>
      <c r="P5160" s="19"/>
      <c r="Q5160" s="19"/>
      <c r="R5160" s="19"/>
    </row>
    <row r="5161" spans="13:18">
      <c r="M5161" s="19"/>
      <c r="N5161" s="19"/>
      <c r="O5161" s="19"/>
      <c r="P5161" s="19"/>
      <c r="Q5161" s="19"/>
      <c r="R5161" s="19"/>
    </row>
    <row r="5162" spans="13:18">
      <c r="M5162" s="19"/>
      <c r="N5162" s="19"/>
      <c r="O5162" s="19"/>
      <c r="P5162" s="19"/>
      <c r="Q5162" s="19"/>
      <c r="R5162" s="19"/>
    </row>
    <row r="5163" spans="13:18">
      <c r="M5163" s="19"/>
      <c r="N5163" s="19"/>
      <c r="O5163" s="19"/>
      <c r="P5163" s="19"/>
      <c r="Q5163" s="19"/>
      <c r="R5163" s="19"/>
    </row>
    <row r="5164" spans="13:18">
      <c r="M5164" s="19"/>
      <c r="N5164" s="19"/>
      <c r="O5164" s="19"/>
      <c r="P5164" s="19"/>
      <c r="Q5164" s="19"/>
      <c r="R5164" s="19"/>
    </row>
    <row r="5165" spans="13:18">
      <c r="M5165" s="19"/>
      <c r="N5165" s="19"/>
      <c r="O5165" s="19"/>
      <c r="P5165" s="19"/>
      <c r="Q5165" s="19"/>
      <c r="R5165" s="19"/>
    </row>
    <row r="5166" spans="13:18">
      <c r="M5166" s="19"/>
      <c r="N5166" s="19"/>
      <c r="O5166" s="19"/>
      <c r="P5166" s="19"/>
      <c r="Q5166" s="19"/>
      <c r="R5166" s="19"/>
    </row>
    <row r="5167" spans="13:18">
      <c r="M5167" s="19"/>
      <c r="N5167" s="19"/>
      <c r="O5167" s="19"/>
      <c r="P5167" s="19"/>
      <c r="Q5167" s="19"/>
      <c r="R5167" s="19"/>
    </row>
    <row r="5168" spans="13:18">
      <c r="M5168" s="19"/>
      <c r="N5168" s="19"/>
      <c r="O5168" s="19"/>
      <c r="P5168" s="19"/>
      <c r="Q5168" s="19"/>
      <c r="R5168" s="19"/>
    </row>
    <row r="5169" spans="13:18">
      <c r="M5169" s="19"/>
      <c r="N5169" s="19"/>
      <c r="O5169" s="19"/>
      <c r="P5169" s="19"/>
      <c r="Q5169" s="19"/>
      <c r="R5169" s="19"/>
    </row>
    <row r="5170" spans="13:18">
      <c r="M5170" s="19"/>
      <c r="N5170" s="19"/>
      <c r="O5170" s="19"/>
      <c r="P5170" s="19"/>
      <c r="Q5170" s="19"/>
      <c r="R5170" s="19"/>
    </row>
    <row r="5171" spans="13:18">
      <c r="M5171" s="19"/>
      <c r="N5171" s="19"/>
      <c r="O5171" s="19"/>
      <c r="P5171" s="19"/>
      <c r="Q5171" s="19"/>
      <c r="R5171" s="19"/>
    </row>
    <row r="5172" spans="13:18">
      <c r="M5172" s="19"/>
      <c r="N5172" s="19"/>
      <c r="O5172" s="19"/>
      <c r="P5172" s="19"/>
      <c r="Q5172" s="19"/>
      <c r="R5172" s="19"/>
    </row>
    <row r="5173" spans="13:18">
      <c r="M5173" s="19"/>
      <c r="N5173" s="19"/>
      <c r="O5173" s="19"/>
      <c r="P5173" s="19"/>
      <c r="Q5173" s="19"/>
      <c r="R5173" s="19"/>
    </row>
    <row r="5174" spans="13:18">
      <c r="M5174" s="19"/>
      <c r="N5174" s="19"/>
      <c r="O5174" s="19"/>
      <c r="P5174" s="19"/>
      <c r="Q5174" s="19"/>
      <c r="R5174" s="19"/>
    </row>
    <row r="5175" spans="13:18">
      <c r="M5175" s="19"/>
      <c r="N5175" s="19"/>
      <c r="O5175" s="19"/>
      <c r="P5175" s="19"/>
      <c r="Q5175" s="19"/>
      <c r="R5175" s="19"/>
    </row>
    <row r="5176" spans="13:18">
      <c r="M5176" s="19"/>
      <c r="N5176" s="19"/>
      <c r="O5176" s="19"/>
      <c r="P5176" s="19"/>
      <c r="Q5176" s="19"/>
      <c r="R5176" s="19"/>
    </row>
    <row r="5177" spans="13:18">
      <c r="M5177" s="19"/>
      <c r="N5177" s="19"/>
      <c r="O5177" s="19"/>
      <c r="P5177" s="19"/>
      <c r="Q5177" s="19"/>
      <c r="R5177" s="19"/>
    </row>
    <row r="5178" spans="13:18">
      <c r="M5178" s="19"/>
      <c r="N5178" s="19"/>
      <c r="O5178" s="19"/>
      <c r="P5178" s="19"/>
      <c r="Q5178" s="19"/>
      <c r="R5178" s="19"/>
    </row>
    <row r="5179" spans="13:18">
      <c r="M5179" s="19"/>
      <c r="N5179" s="19"/>
      <c r="O5179" s="19"/>
      <c r="P5179" s="19"/>
      <c r="Q5179" s="19"/>
      <c r="R5179" s="19"/>
    </row>
    <row r="5180" spans="13:18">
      <c r="M5180" s="19"/>
      <c r="N5180" s="19"/>
      <c r="O5180" s="19"/>
      <c r="P5180" s="19"/>
      <c r="Q5180" s="19"/>
      <c r="R5180" s="19"/>
    </row>
    <row r="5181" spans="13:18">
      <c r="M5181" s="19"/>
      <c r="N5181" s="19"/>
      <c r="O5181" s="19"/>
      <c r="P5181" s="19"/>
      <c r="Q5181" s="19"/>
      <c r="R5181" s="19"/>
    </row>
    <row r="5182" spans="13:18">
      <c r="M5182" s="19"/>
      <c r="N5182" s="19"/>
      <c r="O5182" s="19"/>
      <c r="P5182" s="19"/>
      <c r="Q5182" s="19"/>
      <c r="R5182" s="19"/>
    </row>
    <row r="5183" spans="13:18">
      <c r="M5183" s="19"/>
      <c r="N5183" s="19"/>
      <c r="O5183" s="19"/>
      <c r="P5183" s="19"/>
      <c r="Q5183" s="19"/>
      <c r="R5183" s="19"/>
    </row>
    <row r="5184" spans="13:18">
      <c r="M5184" s="19"/>
      <c r="N5184" s="19"/>
      <c r="O5184" s="19"/>
      <c r="P5184" s="19"/>
      <c r="Q5184" s="19"/>
      <c r="R5184" s="19"/>
    </row>
    <row r="5185" spans="13:18">
      <c r="M5185" s="19"/>
      <c r="N5185" s="19"/>
      <c r="O5185" s="19"/>
      <c r="P5185" s="19"/>
      <c r="Q5185" s="19"/>
      <c r="R5185" s="19"/>
    </row>
    <row r="5186" spans="13:18">
      <c r="M5186" s="19"/>
      <c r="N5186" s="19"/>
      <c r="O5186" s="19"/>
      <c r="P5186" s="19"/>
      <c r="Q5186" s="19"/>
      <c r="R5186" s="19"/>
    </row>
    <row r="5187" spans="13:18">
      <c r="M5187" s="19"/>
      <c r="N5187" s="19"/>
      <c r="O5187" s="19"/>
      <c r="P5187" s="19"/>
      <c r="Q5187" s="19"/>
      <c r="R5187" s="19"/>
    </row>
    <row r="5188" spans="13:18">
      <c r="M5188" s="19"/>
      <c r="N5188" s="19"/>
      <c r="O5188" s="19"/>
      <c r="P5188" s="19"/>
      <c r="Q5188" s="19"/>
      <c r="R5188" s="19"/>
    </row>
    <row r="5189" spans="13:18">
      <c r="M5189" s="19"/>
      <c r="N5189" s="19"/>
      <c r="O5189" s="19"/>
      <c r="P5189" s="19"/>
      <c r="Q5189" s="19"/>
      <c r="R5189" s="19"/>
    </row>
    <row r="5190" spans="13:18">
      <c r="M5190" s="19"/>
      <c r="N5190" s="19"/>
      <c r="O5190" s="19"/>
      <c r="P5190" s="19"/>
      <c r="Q5190" s="19"/>
      <c r="R5190" s="19"/>
    </row>
    <row r="5191" spans="13:18">
      <c r="M5191" s="19"/>
      <c r="N5191" s="19"/>
      <c r="O5191" s="19"/>
      <c r="P5191" s="19"/>
      <c r="Q5191" s="19"/>
      <c r="R5191" s="19"/>
    </row>
    <row r="5192" spans="13:18">
      <c r="M5192" s="19"/>
      <c r="N5192" s="19"/>
      <c r="O5192" s="19"/>
      <c r="P5192" s="19"/>
      <c r="Q5192" s="19"/>
      <c r="R5192" s="19"/>
    </row>
    <row r="5193" spans="13:18">
      <c r="M5193" s="19"/>
      <c r="N5193" s="19"/>
      <c r="O5193" s="19"/>
      <c r="P5193" s="19"/>
      <c r="Q5193" s="19"/>
      <c r="R5193" s="19"/>
    </row>
    <row r="5194" spans="13:18">
      <c r="M5194" s="19"/>
      <c r="N5194" s="19"/>
      <c r="O5194" s="19"/>
      <c r="P5194" s="19"/>
      <c r="Q5194" s="19"/>
      <c r="R5194" s="19"/>
    </row>
    <row r="5195" spans="13:18">
      <c r="M5195" s="19"/>
      <c r="N5195" s="19"/>
      <c r="O5195" s="19"/>
      <c r="P5195" s="19"/>
      <c r="Q5195" s="19"/>
      <c r="R5195" s="19"/>
    </row>
    <row r="5196" spans="13:18">
      <c r="M5196" s="19"/>
      <c r="N5196" s="19"/>
      <c r="O5196" s="19"/>
      <c r="P5196" s="19"/>
      <c r="Q5196" s="19"/>
      <c r="R5196" s="19"/>
    </row>
    <row r="5197" spans="13:18">
      <c r="M5197" s="19"/>
      <c r="N5197" s="19"/>
      <c r="O5197" s="19"/>
      <c r="P5197" s="19"/>
      <c r="Q5197" s="19"/>
      <c r="R5197" s="19"/>
    </row>
    <row r="5198" spans="13:18">
      <c r="M5198" s="19"/>
      <c r="N5198" s="19"/>
      <c r="O5198" s="19"/>
      <c r="P5198" s="19"/>
      <c r="Q5198" s="19"/>
      <c r="R5198" s="19"/>
    </row>
    <row r="5199" spans="13:18">
      <c r="M5199" s="19"/>
      <c r="N5199" s="19"/>
      <c r="O5199" s="19"/>
      <c r="P5199" s="19"/>
      <c r="Q5199" s="19"/>
      <c r="R5199" s="19"/>
    </row>
    <row r="5200" spans="13:18">
      <c r="M5200" s="19"/>
      <c r="N5200" s="19"/>
      <c r="O5200" s="19"/>
      <c r="P5200" s="19"/>
      <c r="Q5200" s="19"/>
      <c r="R5200" s="19"/>
    </row>
    <row r="5201" spans="13:18">
      <c r="M5201" s="19"/>
      <c r="N5201" s="19"/>
      <c r="O5201" s="19"/>
      <c r="P5201" s="19"/>
      <c r="Q5201" s="19"/>
      <c r="R5201" s="19"/>
    </row>
    <row r="5202" spans="13:18">
      <c r="M5202" s="19"/>
      <c r="N5202" s="19"/>
      <c r="O5202" s="19"/>
      <c r="P5202" s="19"/>
      <c r="Q5202" s="19"/>
      <c r="R5202" s="19"/>
    </row>
    <row r="5203" spans="13:18">
      <c r="M5203" s="19"/>
      <c r="N5203" s="19"/>
      <c r="O5203" s="19"/>
      <c r="P5203" s="19"/>
      <c r="Q5203" s="19"/>
      <c r="R5203" s="19"/>
    </row>
    <row r="5204" spans="13:18">
      <c r="M5204" s="19"/>
      <c r="N5204" s="19"/>
      <c r="O5204" s="19"/>
      <c r="P5204" s="19"/>
      <c r="Q5204" s="19"/>
      <c r="R5204" s="19"/>
    </row>
    <row r="5205" spans="13:18">
      <c r="M5205" s="19"/>
      <c r="N5205" s="19"/>
      <c r="O5205" s="19"/>
      <c r="P5205" s="19"/>
      <c r="Q5205" s="19"/>
      <c r="R5205" s="19"/>
    </row>
    <row r="5206" spans="13:18">
      <c r="M5206" s="19"/>
      <c r="N5206" s="19"/>
      <c r="O5206" s="19"/>
      <c r="P5206" s="19"/>
      <c r="Q5206" s="19"/>
      <c r="R5206" s="19"/>
    </row>
    <row r="5207" spans="13:18">
      <c r="M5207" s="19"/>
      <c r="N5207" s="19"/>
      <c r="O5207" s="19"/>
      <c r="P5207" s="19"/>
      <c r="Q5207" s="19"/>
      <c r="R5207" s="19"/>
    </row>
    <row r="5208" spans="13:18">
      <c r="M5208" s="19"/>
      <c r="N5208" s="19"/>
      <c r="O5208" s="19"/>
      <c r="P5208" s="19"/>
      <c r="Q5208" s="19"/>
      <c r="R5208" s="19"/>
    </row>
    <row r="5209" spans="13:18">
      <c r="M5209" s="19"/>
      <c r="N5209" s="19"/>
      <c r="O5209" s="19"/>
      <c r="P5209" s="19"/>
      <c r="Q5209" s="19"/>
      <c r="R5209" s="19"/>
    </row>
    <row r="5210" spans="13:18">
      <c r="M5210" s="19"/>
      <c r="N5210" s="19"/>
      <c r="O5210" s="19"/>
      <c r="P5210" s="19"/>
      <c r="Q5210" s="19"/>
      <c r="R5210" s="19"/>
    </row>
    <row r="5211" spans="13:18">
      <c r="M5211" s="19"/>
      <c r="N5211" s="19"/>
      <c r="O5211" s="19"/>
      <c r="P5211" s="19"/>
      <c r="Q5211" s="19"/>
      <c r="R5211" s="19"/>
    </row>
    <row r="5212" spans="13:18">
      <c r="M5212" s="19"/>
      <c r="N5212" s="19"/>
      <c r="O5212" s="19"/>
      <c r="P5212" s="19"/>
      <c r="Q5212" s="19"/>
      <c r="R5212" s="19"/>
    </row>
    <row r="5213" spans="13:18">
      <c r="M5213" s="19"/>
      <c r="N5213" s="19"/>
      <c r="O5213" s="19"/>
      <c r="P5213" s="19"/>
      <c r="Q5213" s="19"/>
      <c r="R5213" s="19"/>
    </row>
    <row r="5214" spans="13:18">
      <c r="M5214" s="19"/>
      <c r="N5214" s="19"/>
      <c r="O5214" s="19"/>
      <c r="P5214" s="19"/>
      <c r="Q5214" s="19"/>
      <c r="R5214" s="19"/>
    </row>
    <row r="5215" spans="13:18">
      <c r="M5215" s="19"/>
      <c r="N5215" s="19"/>
      <c r="O5215" s="19"/>
      <c r="P5215" s="19"/>
      <c r="Q5215" s="19"/>
      <c r="R5215" s="19"/>
    </row>
    <row r="5216" spans="13:18">
      <c r="M5216" s="19"/>
      <c r="N5216" s="19"/>
      <c r="O5216" s="19"/>
      <c r="P5216" s="19"/>
      <c r="Q5216" s="19"/>
      <c r="R5216" s="19"/>
    </row>
    <row r="5217" spans="13:18">
      <c r="M5217" s="19"/>
      <c r="N5217" s="19"/>
      <c r="O5217" s="19"/>
      <c r="P5217" s="19"/>
      <c r="Q5217" s="19"/>
      <c r="R5217" s="19"/>
    </row>
    <row r="5218" spans="13:18">
      <c r="M5218" s="19"/>
      <c r="N5218" s="19"/>
      <c r="O5218" s="19"/>
      <c r="P5218" s="19"/>
      <c r="Q5218" s="19"/>
      <c r="R5218" s="19"/>
    </row>
    <row r="5219" spans="13:18">
      <c r="M5219" s="19"/>
      <c r="N5219" s="19"/>
      <c r="O5219" s="19"/>
      <c r="P5219" s="19"/>
      <c r="Q5219" s="19"/>
      <c r="R5219" s="19"/>
    </row>
    <row r="5220" spans="13:18">
      <c r="M5220" s="19"/>
      <c r="N5220" s="19"/>
      <c r="O5220" s="19"/>
      <c r="P5220" s="19"/>
      <c r="Q5220" s="19"/>
      <c r="R5220" s="19"/>
    </row>
    <row r="5221" spans="13:18">
      <c r="M5221" s="19"/>
      <c r="N5221" s="19"/>
      <c r="O5221" s="19"/>
      <c r="P5221" s="19"/>
      <c r="Q5221" s="19"/>
      <c r="R5221" s="19"/>
    </row>
    <row r="5222" spans="13:18">
      <c r="M5222" s="19"/>
      <c r="N5222" s="19"/>
      <c r="O5222" s="19"/>
      <c r="P5222" s="19"/>
      <c r="Q5222" s="19"/>
      <c r="R5222" s="19"/>
    </row>
    <row r="5223" spans="13:18">
      <c r="M5223" s="19"/>
      <c r="N5223" s="19"/>
      <c r="O5223" s="19"/>
      <c r="P5223" s="19"/>
      <c r="Q5223" s="19"/>
      <c r="R5223" s="19"/>
    </row>
    <row r="5224" spans="13:18">
      <c r="M5224" s="19"/>
      <c r="N5224" s="19"/>
      <c r="O5224" s="19"/>
      <c r="P5224" s="19"/>
      <c r="Q5224" s="19"/>
      <c r="R5224" s="19"/>
    </row>
    <row r="5225" spans="13:18">
      <c r="M5225" s="19"/>
      <c r="N5225" s="19"/>
      <c r="O5225" s="19"/>
      <c r="P5225" s="19"/>
      <c r="Q5225" s="19"/>
      <c r="R5225" s="19"/>
    </row>
    <row r="5226" spans="13:18">
      <c r="M5226" s="19"/>
      <c r="N5226" s="19"/>
      <c r="O5226" s="19"/>
      <c r="P5226" s="19"/>
      <c r="Q5226" s="19"/>
      <c r="R5226" s="19"/>
    </row>
    <row r="5227" spans="13:18">
      <c r="M5227" s="19"/>
      <c r="N5227" s="19"/>
      <c r="O5227" s="19"/>
      <c r="P5227" s="19"/>
      <c r="Q5227" s="19"/>
      <c r="R5227" s="19"/>
    </row>
    <row r="5228" spans="13:18">
      <c r="M5228" s="19"/>
      <c r="N5228" s="19"/>
      <c r="O5228" s="19"/>
      <c r="P5228" s="19"/>
      <c r="Q5228" s="19"/>
      <c r="R5228" s="19"/>
    </row>
    <row r="5229" spans="13:18">
      <c r="M5229" s="19"/>
      <c r="N5229" s="19"/>
      <c r="O5229" s="19"/>
      <c r="P5229" s="19"/>
      <c r="Q5229" s="19"/>
      <c r="R5229" s="19"/>
    </row>
    <row r="5230" spans="13:18">
      <c r="M5230" s="19"/>
      <c r="N5230" s="19"/>
      <c r="O5230" s="19"/>
      <c r="P5230" s="19"/>
      <c r="Q5230" s="19"/>
      <c r="R5230" s="19"/>
    </row>
    <row r="5231" spans="13:18">
      <c r="M5231" s="19"/>
      <c r="N5231" s="19"/>
      <c r="O5231" s="19"/>
      <c r="P5231" s="19"/>
      <c r="Q5231" s="19"/>
      <c r="R5231" s="19"/>
    </row>
    <row r="5232" spans="13:18">
      <c r="M5232" s="19"/>
      <c r="N5232" s="19"/>
      <c r="O5232" s="19"/>
      <c r="P5232" s="19"/>
      <c r="Q5232" s="19"/>
      <c r="R5232" s="19"/>
    </row>
    <row r="5233" spans="13:18">
      <c r="M5233" s="19"/>
      <c r="N5233" s="19"/>
      <c r="O5233" s="19"/>
      <c r="P5233" s="19"/>
      <c r="Q5233" s="19"/>
      <c r="R5233" s="19"/>
    </row>
    <row r="5234" spans="13:18">
      <c r="M5234" s="19"/>
      <c r="N5234" s="19"/>
      <c r="O5234" s="19"/>
      <c r="P5234" s="19"/>
      <c r="Q5234" s="19"/>
      <c r="R5234" s="19"/>
    </row>
    <row r="5235" spans="13:18">
      <c r="M5235" s="19"/>
      <c r="N5235" s="19"/>
      <c r="O5235" s="19"/>
      <c r="P5235" s="19"/>
      <c r="Q5235" s="19"/>
      <c r="R5235" s="19"/>
    </row>
    <row r="5236" spans="13:18">
      <c r="M5236" s="19"/>
      <c r="N5236" s="19"/>
      <c r="O5236" s="19"/>
      <c r="P5236" s="19"/>
      <c r="Q5236" s="19"/>
      <c r="R5236" s="19"/>
    </row>
    <row r="5237" spans="13:18">
      <c r="M5237" s="19"/>
      <c r="N5237" s="19"/>
      <c r="O5237" s="19"/>
      <c r="P5237" s="19"/>
      <c r="Q5237" s="19"/>
      <c r="R5237" s="19"/>
    </row>
    <row r="5238" spans="13:18">
      <c r="M5238" s="19"/>
      <c r="N5238" s="19"/>
      <c r="O5238" s="19"/>
      <c r="P5238" s="19"/>
      <c r="Q5238" s="19"/>
      <c r="R5238" s="19"/>
    </row>
    <row r="5239" spans="13:18">
      <c r="M5239" s="19"/>
      <c r="N5239" s="19"/>
      <c r="O5239" s="19"/>
      <c r="P5239" s="19"/>
      <c r="Q5239" s="19"/>
      <c r="R5239" s="19"/>
    </row>
    <row r="5240" spans="13:18">
      <c r="M5240" s="19"/>
      <c r="N5240" s="19"/>
      <c r="O5240" s="19"/>
      <c r="P5240" s="19"/>
      <c r="Q5240" s="19"/>
      <c r="R5240" s="19"/>
    </row>
    <row r="5241" spans="13:18">
      <c r="M5241" s="19"/>
      <c r="N5241" s="19"/>
      <c r="O5241" s="19"/>
      <c r="P5241" s="19"/>
      <c r="Q5241" s="19"/>
      <c r="R5241" s="19"/>
    </row>
    <row r="5242" spans="13:18">
      <c r="M5242" s="19"/>
      <c r="N5242" s="19"/>
      <c r="O5242" s="19"/>
      <c r="P5242" s="19"/>
      <c r="Q5242" s="19"/>
      <c r="R5242" s="19"/>
    </row>
    <row r="5243" spans="13:18">
      <c r="M5243" s="19"/>
      <c r="N5243" s="19"/>
      <c r="O5243" s="19"/>
      <c r="P5243" s="19"/>
      <c r="Q5243" s="19"/>
      <c r="R5243" s="19"/>
    </row>
    <row r="5244" spans="13:18">
      <c r="M5244" s="19"/>
      <c r="N5244" s="19"/>
      <c r="O5244" s="19"/>
      <c r="P5244" s="19"/>
      <c r="Q5244" s="19"/>
      <c r="R5244" s="19"/>
    </row>
    <row r="5245" spans="13:18">
      <c r="M5245" s="19"/>
      <c r="N5245" s="19"/>
      <c r="O5245" s="19"/>
      <c r="P5245" s="19"/>
      <c r="Q5245" s="19"/>
      <c r="R5245" s="19"/>
    </row>
    <row r="5246" spans="13:18">
      <c r="M5246" s="19"/>
      <c r="N5246" s="19"/>
      <c r="O5246" s="19"/>
      <c r="P5246" s="19"/>
      <c r="Q5246" s="19"/>
      <c r="R5246" s="19"/>
    </row>
    <row r="5247" spans="13:18">
      <c r="M5247" s="19"/>
      <c r="N5247" s="19"/>
      <c r="O5247" s="19"/>
      <c r="P5247" s="19"/>
      <c r="Q5247" s="19"/>
      <c r="R5247" s="19"/>
    </row>
    <row r="5248" spans="13:18">
      <c r="M5248" s="19"/>
      <c r="N5248" s="19"/>
      <c r="O5248" s="19"/>
      <c r="P5248" s="19"/>
      <c r="Q5248" s="19"/>
      <c r="R5248" s="19"/>
    </row>
    <row r="5249" spans="13:18">
      <c r="M5249" s="19"/>
      <c r="N5249" s="19"/>
      <c r="O5249" s="19"/>
      <c r="P5249" s="19"/>
      <c r="Q5249" s="19"/>
      <c r="R5249" s="19"/>
    </row>
    <row r="5250" spans="13:18">
      <c r="M5250" s="19"/>
      <c r="N5250" s="19"/>
      <c r="O5250" s="19"/>
      <c r="P5250" s="19"/>
      <c r="Q5250" s="19"/>
      <c r="R5250" s="19"/>
    </row>
    <row r="5251" spans="13:18">
      <c r="M5251" s="19"/>
      <c r="N5251" s="19"/>
      <c r="O5251" s="19"/>
      <c r="P5251" s="19"/>
      <c r="Q5251" s="19"/>
      <c r="R5251" s="19"/>
    </row>
    <row r="5252" spans="13:18">
      <c r="M5252" s="19"/>
      <c r="N5252" s="19"/>
      <c r="O5252" s="19"/>
      <c r="P5252" s="19"/>
      <c r="Q5252" s="19"/>
      <c r="R5252" s="19"/>
    </row>
    <row r="5253" spans="13:18">
      <c r="M5253" s="19"/>
      <c r="N5253" s="19"/>
      <c r="O5253" s="19"/>
      <c r="P5253" s="19"/>
      <c r="Q5253" s="19"/>
      <c r="R5253" s="19"/>
    </row>
    <row r="5254" spans="13:18">
      <c r="M5254" s="19"/>
      <c r="N5254" s="19"/>
      <c r="O5254" s="19"/>
      <c r="P5254" s="19"/>
      <c r="Q5254" s="19"/>
      <c r="R5254" s="19"/>
    </row>
    <row r="5255" spans="13:18">
      <c r="M5255" s="19"/>
      <c r="N5255" s="19"/>
      <c r="O5255" s="19"/>
      <c r="P5255" s="19"/>
      <c r="Q5255" s="19"/>
      <c r="R5255" s="19"/>
    </row>
    <row r="5256" spans="13:18">
      <c r="M5256" s="19"/>
      <c r="N5256" s="19"/>
      <c r="O5256" s="19"/>
      <c r="P5256" s="19"/>
      <c r="Q5256" s="19"/>
      <c r="R5256" s="19"/>
    </row>
    <row r="5257" spans="13:18">
      <c r="M5257" s="19"/>
      <c r="N5257" s="19"/>
      <c r="O5257" s="19"/>
      <c r="P5257" s="19"/>
      <c r="Q5257" s="19"/>
      <c r="R5257" s="19"/>
    </row>
    <row r="5258" spans="13:18">
      <c r="M5258" s="19"/>
      <c r="N5258" s="19"/>
      <c r="O5258" s="19"/>
      <c r="P5258" s="19"/>
      <c r="Q5258" s="19"/>
      <c r="R5258" s="19"/>
    </row>
    <row r="5259" spans="13:18">
      <c r="M5259" s="19"/>
      <c r="N5259" s="19"/>
      <c r="O5259" s="19"/>
      <c r="P5259" s="19"/>
      <c r="Q5259" s="19"/>
      <c r="R5259" s="19"/>
    </row>
    <row r="5260" spans="13:18">
      <c r="M5260" s="19"/>
      <c r="N5260" s="19"/>
      <c r="O5260" s="19"/>
      <c r="P5260" s="19"/>
      <c r="Q5260" s="19"/>
      <c r="R5260" s="19"/>
    </row>
    <row r="5261" spans="13:18">
      <c r="M5261" s="19"/>
      <c r="N5261" s="19"/>
      <c r="O5261" s="19"/>
      <c r="P5261" s="19"/>
      <c r="Q5261" s="19"/>
      <c r="R5261" s="19"/>
    </row>
    <row r="5262" spans="13:18">
      <c r="M5262" s="19"/>
      <c r="N5262" s="19"/>
      <c r="O5262" s="19"/>
      <c r="P5262" s="19"/>
      <c r="Q5262" s="19"/>
      <c r="R5262" s="19"/>
    </row>
    <row r="5263" spans="13:18">
      <c r="M5263" s="19"/>
      <c r="N5263" s="19"/>
      <c r="O5263" s="19"/>
      <c r="P5263" s="19"/>
      <c r="Q5263" s="19"/>
      <c r="R5263" s="19"/>
    </row>
    <row r="5264" spans="13:18">
      <c r="M5264" s="19"/>
      <c r="N5264" s="19"/>
      <c r="O5264" s="19"/>
      <c r="P5264" s="19"/>
      <c r="Q5264" s="19"/>
      <c r="R5264" s="19"/>
    </row>
    <row r="5265" spans="13:18">
      <c r="M5265" s="19"/>
      <c r="N5265" s="19"/>
      <c r="O5265" s="19"/>
      <c r="P5265" s="19"/>
      <c r="Q5265" s="19"/>
      <c r="R5265" s="19"/>
    </row>
    <row r="5266" spans="13:18">
      <c r="M5266" s="19"/>
      <c r="N5266" s="19"/>
      <c r="O5266" s="19"/>
      <c r="P5266" s="19"/>
      <c r="Q5266" s="19"/>
      <c r="R5266" s="19"/>
    </row>
    <row r="5267" spans="13:18">
      <c r="M5267" s="19"/>
      <c r="N5267" s="19"/>
      <c r="O5267" s="19"/>
      <c r="P5267" s="19"/>
      <c r="Q5267" s="19"/>
      <c r="R5267" s="19"/>
    </row>
    <row r="5268" spans="13:18">
      <c r="M5268" s="19"/>
      <c r="N5268" s="19"/>
      <c r="O5268" s="19"/>
      <c r="P5268" s="19"/>
      <c r="Q5268" s="19"/>
      <c r="R5268" s="19"/>
    </row>
    <row r="5269" spans="13:18">
      <c r="M5269" s="19"/>
      <c r="N5269" s="19"/>
      <c r="O5269" s="19"/>
      <c r="P5269" s="19"/>
      <c r="Q5269" s="19"/>
      <c r="R5269" s="19"/>
    </row>
    <row r="5270" spans="13:18">
      <c r="M5270" s="19"/>
      <c r="N5270" s="19"/>
      <c r="O5270" s="19"/>
      <c r="P5270" s="19"/>
      <c r="Q5270" s="19"/>
      <c r="R5270" s="19"/>
    </row>
    <row r="5271" spans="13:18">
      <c r="M5271" s="19"/>
      <c r="N5271" s="19"/>
      <c r="O5271" s="19"/>
      <c r="P5271" s="19"/>
      <c r="Q5271" s="19"/>
      <c r="R5271" s="19"/>
    </row>
    <row r="5272" spans="13:18">
      <c r="M5272" s="19"/>
      <c r="N5272" s="19"/>
      <c r="O5272" s="19"/>
      <c r="P5272" s="19"/>
      <c r="Q5272" s="19"/>
      <c r="R5272" s="19"/>
    </row>
    <row r="5273" spans="13:18">
      <c r="M5273" s="19"/>
      <c r="N5273" s="19"/>
      <c r="O5273" s="19"/>
      <c r="P5273" s="19"/>
      <c r="Q5273" s="19"/>
      <c r="R5273" s="19"/>
    </row>
    <row r="5274" spans="13:18">
      <c r="M5274" s="19"/>
      <c r="N5274" s="19"/>
      <c r="O5274" s="19"/>
      <c r="P5274" s="19"/>
      <c r="Q5274" s="19"/>
      <c r="R5274" s="19"/>
    </row>
    <row r="5275" spans="13:18">
      <c r="M5275" s="19"/>
      <c r="N5275" s="19"/>
      <c r="O5275" s="19"/>
      <c r="P5275" s="19"/>
      <c r="Q5275" s="19"/>
      <c r="R5275" s="19"/>
    </row>
    <row r="5276" spans="13:18">
      <c r="M5276" s="19"/>
      <c r="N5276" s="19"/>
      <c r="O5276" s="19"/>
      <c r="P5276" s="19"/>
      <c r="Q5276" s="19"/>
      <c r="R5276" s="19"/>
    </row>
    <row r="5277" spans="13:18">
      <c r="M5277" s="19"/>
      <c r="N5277" s="19"/>
      <c r="O5277" s="19"/>
      <c r="P5277" s="19"/>
      <c r="Q5277" s="19"/>
      <c r="R5277" s="19"/>
    </row>
    <row r="5278" spans="13:18">
      <c r="M5278" s="19"/>
      <c r="N5278" s="19"/>
      <c r="O5278" s="19"/>
      <c r="P5278" s="19"/>
      <c r="Q5278" s="19"/>
      <c r="R5278" s="19"/>
    </row>
    <row r="5279" spans="13:18">
      <c r="M5279" s="19"/>
      <c r="N5279" s="19"/>
      <c r="O5279" s="19"/>
      <c r="P5279" s="19"/>
      <c r="Q5279" s="19"/>
      <c r="R5279" s="19"/>
    </row>
    <row r="5280" spans="13:18">
      <c r="M5280" s="19"/>
      <c r="N5280" s="19"/>
      <c r="O5280" s="19"/>
      <c r="P5280" s="19"/>
      <c r="Q5280" s="19"/>
      <c r="R5280" s="19"/>
    </row>
    <row r="5281" spans="13:18">
      <c r="M5281" s="19"/>
      <c r="N5281" s="19"/>
      <c r="O5281" s="19"/>
      <c r="P5281" s="19"/>
      <c r="Q5281" s="19"/>
      <c r="R5281" s="19"/>
    </row>
    <row r="5282" spans="13:18">
      <c r="M5282" s="19"/>
      <c r="N5282" s="19"/>
      <c r="O5282" s="19"/>
      <c r="P5282" s="19"/>
      <c r="Q5282" s="19"/>
      <c r="R5282" s="19"/>
    </row>
    <row r="5283" spans="13:18">
      <c r="M5283" s="19"/>
      <c r="N5283" s="19"/>
      <c r="O5283" s="19"/>
      <c r="P5283" s="19"/>
      <c r="Q5283" s="19"/>
      <c r="R5283" s="19"/>
    </row>
    <row r="5284" spans="13:18">
      <c r="M5284" s="19"/>
      <c r="N5284" s="19"/>
      <c r="O5284" s="19"/>
      <c r="P5284" s="19"/>
      <c r="Q5284" s="19"/>
      <c r="R5284" s="19"/>
    </row>
    <row r="5285" spans="13:18">
      <c r="M5285" s="19"/>
      <c r="N5285" s="19"/>
      <c r="O5285" s="19"/>
      <c r="P5285" s="19"/>
      <c r="Q5285" s="19"/>
      <c r="R5285" s="19"/>
    </row>
    <row r="5286" spans="13:18">
      <c r="M5286" s="19"/>
      <c r="N5286" s="19"/>
      <c r="O5286" s="19"/>
      <c r="P5286" s="19"/>
      <c r="Q5286" s="19"/>
      <c r="R5286" s="19"/>
    </row>
    <row r="5287" spans="13:18">
      <c r="M5287" s="19"/>
      <c r="N5287" s="19"/>
      <c r="O5287" s="19"/>
      <c r="P5287" s="19"/>
      <c r="Q5287" s="19"/>
      <c r="R5287" s="19"/>
    </row>
    <row r="5288" spans="13:18">
      <c r="M5288" s="19"/>
      <c r="N5288" s="19"/>
      <c r="O5288" s="19"/>
      <c r="P5288" s="19"/>
      <c r="Q5288" s="19"/>
      <c r="R5288" s="19"/>
    </row>
    <row r="5289" spans="13:18">
      <c r="M5289" s="19"/>
      <c r="N5289" s="19"/>
      <c r="O5289" s="19"/>
      <c r="P5289" s="19"/>
      <c r="Q5289" s="19"/>
      <c r="R5289" s="19"/>
    </row>
    <row r="5290" spans="13:18">
      <c r="M5290" s="19"/>
      <c r="N5290" s="19"/>
      <c r="O5290" s="19"/>
      <c r="P5290" s="19"/>
      <c r="Q5290" s="19"/>
      <c r="R5290" s="19"/>
    </row>
    <row r="5291" spans="13:18">
      <c r="M5291" s="19"/>
      <c r="N5291" s="19"/>
      <c r="O5291" s="19"/>
      <c r="P5291" s="19"/>
      <c r="Q5291" s="19"/>
      <c r="R5291" s="19"/>
    </row>
    <row r="5292" spans="13:18">
      <c r="M5292" s="19"/>
      <c r="N5292" s="19"/>
      <c r="O5292" s="19"/>
      <c r="P5292" s="19"/>
      <c r="Q5292" s="19"/>
      <c r="R5292" s="19"/>
    </row>
    <row r="5293" spans="13:18">
      <c r="M5293" s="19"/>
      <c r="N5293" s="19"/>
      <c r="O5293" s="19"/>
      <c r="P5293" s="19"/>
      <c r="Q5293" s="19"/>
      <c r="R5293" s="19"/>
    </row>
    <row r="5294" spans="13:18">
      <c r="M5294" s="19"/>
      <c r="N5294" s="19"/>
      <c r="O5294" s="19"/>
      <c r="P5294" s="19"/>
      <c r="Q5294" s="19"/>
      <c r="R5294" s="19"/>
    </row>
    <row r="5295" spans="13:18">
      <c r="M5295" s="19"/>
      <c r="N5295" s="19"/>
      <c r="O5295" s="19"/>
      <c r="P5295" s="19"/>
      <c r="Q5295" s="19"/>
      <c r="R5295" s="19"/>
    </row>
    <row r="5296" spans="13:18">
      <c r="M5296" s="19"/>
      <c r="N5296" s="19"/>
      <c r="O5296" s="19"/>
      <c r="P5296" s="19"/>
      <c r="Q5296" s="19"/>
      <c r="R5296" s="19"/>
    </row>
    <row r="5297" spans="13:18">
      <c r="M5297" s="19"/>
      <c r="N5297" s="19"/>
      <c r="O5297" s="19"/>
      <c r="P5297" s="19"/>
      <c r="Q5297" s="19"/>
      <c r="R5297" s="19"/>
    </row>
    <row r="5298" spans="13:18">
      <c r="M5298" s="19"/>
      <c r="N5298" s="19"/>
      <c r="O5298" s="19"/>
      <c r="P5298" s="19"/>
      <c r="Q5298" s="19"/>
      <c r="R5298" s="19"/>
    </row>
    <row r="5299" spans="13:18">
      <c r="M5299" s="19"/>
      <c r="N5299" s="19"/>
      <c r="O5299" s="19"/>
      <c r="P5299" s="19"/>
      <c r="Q5299" s="19"/>
      <c r="R5299" s="19"/>
    </row>
    <row r="5300" spans="13:18">
      <c r="M5300" s="19"/>
      <c r="N5300" s="19"/>
      <c r="O5300" s="19"/>
      <c r="P5300" s="19"/>
      <c r="Q5300" s="19"/>
      <c r="R5300" s="19"/>
    </row>
    <row r="5301" spans="13:18">
      <c r="M5301" s="19"/>
      <c r="N5301" s="19"/>
      <c r="O5301" s="19"/>
      <c r="P5301" s="19"/>
      <c r="Q5301" s="19"/>
      <c r="R5301" s="19"/>
    </row>
    <row r="5302" spans="13:18">
      <c r="M5302" s="19"/>
      <c r="N5302" s="19"/>
      <c r="O5302" s="19"/>
      <c r="P5302" s="19"/>
      <c r="Q5302" s="19"/>
      <c r="R5302" s="19"/>
    </row>
    <row r="5303" spans="13:18">
      <c r="M5303" s="19"/>
      <c r="N5303" s="19"/>
      <c r="O5303" s="19"/>
      <c r="P5303" s="19"/>
      <c r="Q5303" s="19"/>
      <c r="R5303" s="19"/>
    </row>
    <row r="5304" spans="13:18">
      <c r="M5304" s="19"/>
      <c r="N5304" s="19"/>
      <c r="O5304" s="19"/>
      <c r="P5304" s="19"/>
      <c r="Q5304" s="19"/>
      <c r="R5304" s="19"/>
    </row>
    <row r="5305" spans="13:18">
      <c r="M5305" s="19"/>
      <c r="N5305" s="19"/>
      <c r="O5305" s="19"/>
      <c r="P5305" s="19"/>
      <c r="Q5305" s="19"/>
      <c r="R5305" s="19"/>
    </row>
    <row r="5306" spans="13:18">
      <c r="M5306" s="19"/>
      <c r="N5306" s="19"/>
      <c r="O5306" s="19"/>
      <c r="P5306" s="19"/>
      <c r="Q5306" s="19"/>
      <c r="R5306" s="19"/>
    </row>
    <row r="5307" spans="13:18">
      <c r="M5307" s="19"/>
      <c r="N5307" s="19"/>
      <c r="O5307" s="19"/>
      <c r="P5307" s="19"/>
      <c r="Q5307" s="19"/>
      <c r="R5307" s="19"/>
    </row>
    <row r="5308" spans="13:18">
      <c r="M5308" s="19"/>
      <c r="N5308" s="19"/>
      <c r="O5308" s="19"/>
      <c r="P5308" s="19"/>
      <c r="Q5308" s="19"/>
      <c r="R5308" s="19"/>
    </row>
    <row r="5309" spans="13:18">
      <c r="M5309" s="19"/>
      <c r="N5309" s="19"/>
      <c r="O5309" s="19"/>
      <c r="P5309" s="19"/>
      <c r="Q5309" s="19"/>
      <c r="R5309" s="19"/>
    </row>
    <row r="5310" spans="13:18">
      <c r="M5310" s="19"/>
      <c r="N5310" s="19"/>
      <c r="O5310" s="19"/>
      <c r="P5310" s="19"/>
      <c r="Q5310" s="19"/>
      <c r="R5310" s="19"/>
    </row>
    <row r="5311" spans="13:18">
      <c r="M5311" s="19"/>
      <c r="N5311" s="19"/>
      <c r="O5311" s="19"/>
      <c r="P5311" s="19"/>
      <c r="Q5311" s="19"/>
      <c r="R5311" s="19"/>
    </row>
    <row r="5312" spans="13:18">
      <c r="M5312" s="19"/>
      <c r="N5312" s="19"/>
      <c r="O5312" s="19"/>
      <c r="P5312" s="19"/>
      <c r="Q5312" s="19"/>
      <c r="R5312" s="19"/>
    </row>
    <row r="5313" spans="13:18">
      <c r="M5313" s="19"/>
      <c r="N5313" s="19"/>
      <c r="O5313" s="19"/>
      <c r="P5313" s="19"/>
      <c r="Q5313" s="19"/>
      <c r="R5313" s="19"/>
    </row>
    <row r="5314" spans="13:18">
      <c r="M5314" s="19"/>
      <c r="N5314" s="19"/>
      <c r="O5314" s="19"/>
      <c r="P5314" s="19"/>
      <c r="Q5314" s="19"/>
      <c r="R5314" s="19"/>
    </row>
    <row r="5315" spans="13:18">
      <c r="M5315" s="19"/>
      <c r="N5315" s="19"/>
      <c r="O5315" s="19"/>
      <c r="P5315" s="19"/>
      <c r="Q5315" s="19"/>
      <c r="R5315" s="19"/>
    </row>
    <row r="5316" spans="13:18">
      <c r="M5316" s="19"/>
      <c r="N5316" s="19"/>
      <c r="O5316" s="19"/>
      <c r="P5316" s="19"/>
      <c r="Q5316" s="19"/>
      <c r="R5316" s="19"/>
    </row>
    <row r="5317" spans="13:18">
      <c r="M5317" s="19"/>
      <c r="N5317" s="19"/>
      <c r="O5317" s="19"/>
      <c r="P5317" s="19"/>
      <c r="Q5317" s="19"/>
      <c r="R5317" s="19"/>
    </row>
    <row r="5318" spans="13:18">
      <c r="M5318" s="19"/>
      <c r="N5318" s="19"/>
      <c r="O5318" s="19"/>
      <c r="P5318" s="19"/>
      <c r="Q5318" s="19"/>
      <c r="R5318" s="19"/>
    </row>
    <row r="5319" spans="13:18">
      <c r="M5319" s="19"/>
      <c r="N5319" s="19"/>
      <c r="O5319" s="19"/>
      <c r="P5319" s="19"/>
      <c r="Q5319" s="19"/>
      <c r="R5319" s="19"/>
    </row>
    <row r="5320" spans="13:18">
      <c r="M5320" s="19"/>
      <c r="N5320" s="19"/>
      <c r="O5320" s="19"/>
      <c r="P5320" s="19"/>
      <c r="Q5320" s="19"/>
      <c r="R5320" s="19"/>
    </row>
    <row r="5321" spans="13:18">
      <c r="M5321" s="19"/>
      <c r="N5321" s="19"/>
      <c r="O5321" s="19"/>
      <c r="P5321" s="19"/>
      <c r="Q5321" s="19"/>
      <c r="R5321" s="19"/>
    </row>
    <row r="5322" spans="13:18">
      <c r="M5322" s="19"/>
      <c r="N5322" s="19"/>
      <c r="O5322" s="19"/>
      <c r="P5322" s="19"/>
      <c r="Q5322" s="19"/>
      <c r="R5322" s="19"/>
    </row>
    <row r="5323" spans="13:18">
      <c r="M5323" s="19"/>
      <c r="N5323" s="19"/>
      <c r="O5323" s="19"/>
      <c r="P5323" s="19"/>
      <c r="Q5323" s="19"/>
      <c r="R5323" s="19"/>
    </row>
    <row r="5324" spans="13:18">
      <c r="M5324" s="19"/>
      <c r="N5324" s="19"/>
      <c r="O5324" s="19"/>
      <c r="P5324" s="19"/>
      <c r="Q5324" s="19"/>
      <c r="R5324" s="19"/>
    </row>
    <row r="5325" spans="13:18">
      <c r="M5325" s="19"/>
      <c r="N5325" s="19"/>
      <c r="O5325" s="19"/>
      <c r="P5325" s="19"/>
      <c r="Q5325" s="19"/>
      <c r="R5325" s="19"/>
    </row>
    <row r="5326" spans="13:18">
      <c r="M5326" s="19"/>
      <c r="N5326" s="19"/>
      <c r="O5326" s="19"/>
      <c r="P5326" s="19"/>
      <c r="Q5326" s="19"/>
      <c r="R5326" s="19"/>
    </row>
    <row r="5327" spans="13:18">
      <c r="M5327" s="19"/>
      <c r="N5327" s="19"/>
      <c r="O5327" s="19"/>
      <c r="P5327" s="19"/>
      <c r="Q5327" s="19"/>
      <c r="R5327" s="19"/>
    </row>
    <row r="5328" spans="13:18">
      <c r="M5328" s="19"/>
      <c r="N5328" s="19"/>
      <c r="O5328" s="19"/>
      <c r="P5328" s="19"/>
      <c r="Q5328" s="19"/>
      <c r="R5328" s="19"/>
    </row>
    <row r="5329" spans="13:18">
      <c r="M5329" s="19"/>
      <c r="N5329" s="19"/>
      <c r="O5329" s="19"/>
      <c r="P5329" s="19"/>
      <c r="Q5329" s="19"/>
      <c r="R5329" s="19"/>
    </row>
    <row r="5330" spans="13:18">
      <c r="M5330" s="19"/>
      <c r="N5330" s="19"/>
      <c r="O5330" s="19"/>
      <c r="P5330" s="19"/>
      <c r="Q5330" s="19"/>
      <c r="R5330" s="19"/>
    </row>
    <row r="5331" spans="13:18">
      <c r="M5331" s="19"/>
      <c r="N5331" s="19"/>
      <c r="O5331" s="19"/>
      <c r="P5331" s="19"/>
      <c r="Q5331" s="19"/>
      <c r="R5331" s="19"/>
    </row>
    <row r="5332" spans="13:18">
      <c r="M5332" s="19"/>
      <c r="N5332" s="19"/>
      <c r="O5332" s="19"/>
      <c r="P5332" s="19"/>
      <c r="Q5332" s="19"/>
      <c r="R5332" s="19"/>
    </row>
    <row r="5333" spans="13:18">
      <c r="M5333" s="19"/>
      <c r="N5333" s="19"/>
      <c r="O5333" s="19"/>
      <c r="P5333" s="19"/>
      <c r="Q5333" s="19"/>
      <c r="R5333" s="19"/>
    </row>
    <row r="5334" spans="13:18">
      <c r="M5334" s="19"/>
      <c r="N5334" s="19"/>
      <c r="O5334" s="19"/>
      <c r="P5334" s="19"/>
      <c r="Q5334" s="19"/>
      <c r="R5334" s="19"/>
    </row>
    <row r="5335" spans="13:18">
      <c r="M5335" s="19"/>
      <c r="N5335" s="19"/>
      <c r="O5335" s="19"/>
      <c r="P5335" s="19"/>
      <c r="Q5335" s="19"/>
      <c r="R5335" s="19"/>
    </row>
    <row r="5336" spans="13:18">
      <c r="M5336" s="19"/>
      <c r="N5336" s="19"/>
      <c r="O5336" s="19"/>
      <c r="P5336" s="19"/>
      <c r="Q5336" s="19"/>
      <c r="R5336" s="19"/>
    </row>
    <row r="5337" spans="13:18">
      <c r="M5337" s="19"/>
      <c r="N5337" s="19"/>
      <c r="O5337" s="19"/>
      <c r="P5337" s="19"/>
      <c r="Q5337" s="19"/>
      <c r="R5337" s="19"/>
    </row>
    <row r="5338" spans="13:18">
      <c r="M5338" s="19"/>
      <c r="N5338" s="19"/>
      <c r="O5338" s="19"/>
      <c r="P5338" s="19"/>
      <c r="Q5338" s="19"/>
      <c r="R5338" s="19"/>
    </row>
    <row r="5339" spans="13:18">
      <c r="M5339" s="19"/>
      <c r="N5339" s="19"/>
      <c r="O5339" s="19"/>
      <c r="P5339" s="19"/>
      <c r="Q5339" s="19"/>
      <c r="R5339" s="19"/>
    </row>
    <row r="5340" spans="13:18">
      <c r="M5340" s="19"/>
      <c r="N5340" s="19"/>
      <c r="O5340" s="19"/>
      <c r="P5340" s="19"/>
      <c r="Q5340" s="19"/>
      <c r="R5340" s="19"/>
    </row>
    <row r="5341" spans="13:18">
      <c r="M5341" s="19"/>
      <c r="N5341" s="19"/>
      <c r="O5341" s="19"/>
      <c r="P5341" s="19"/>
      <c r="Q5341" s="19"/>
      <c r="R5341" s="19"/>
    </row>
    <row r="5342" spans="13:18">
      <c r="M5342" s="19"/>
      <c r="N5342" s="19"/>
      <c r="O5342" s="19"/>
      <c r="P5342" s="19"/>
      <c r="Q5342" s="19"/>
      <c r="R5342" s="19"/>
    </row>
    <row r="5343" spans="13:18">
      <c r="M5343" s="19"/>
      <c r="N5343" s="19"/>
      <c r="O5343" s="19"/>
      <c r="P5343" s="19"/>
      <c r="Q5343" s="19"/>
      <c r="R5343" s="19"/>
    </row>
    <row r="5344" spans="13:18">
      <c r="M5344" s="19"/>
      <c r="N5344" s="19"/>
      <c r="O5344" s="19"/>
      <c r="P5344" s="19"/>
      <c r="Q5344" s="19"/>
      <c r="R5344" s="19"/>
    </row>
    <row r="5345" spans="13:18">
      <c r="M5345" s="19"/>
      <c r="N5345" s="19"/>
      <c r="O5345" s="19"/>
      <c r="P5345" s="19"/>
      <c r="Q5345" s="19"/>
      <c r="R5345" s="19"/>
    </row>
    <row r="5346" spans="13:18">
      <c r="M5346" s="19"/>
      <c r="N5346" s="19"/>
      <c r="O5346" s="19"/>
      <c r="P5346" s="19"/>
      <c r="Q5346" s="19"/>
      <c r="R5346" s="19"/>
    </row>
    <row r="5347" spans="13:18">
      <c r="M5347" s="19"/>
      <c r="N5347" s="19"/>
      <c r="O5347" s="19"/>
      <c r="P5347" s="19"/>
      <c r="Q5347" s="19"/>
      <c r="R5347" s="19"/>
    </row>
    <row r="5348" spans="13:18">
      <c r="M5348" s="19"/>
      <c r="N5348" s="19"/>
      <c r="O5348" s="19"/>
      <c r="P5348" s="19"/>
      <c r="Q5348" s="19"/>
      <c r="R5348" s="19"/>
    </row>
    <row r="5349" spans="13:18">
      <c r="M5349" s="19"/>
      <c r="N5349" s="19"/>
      <c r="O5349" s="19"/>
      <c r="P5349" s="19"/>
      <c r="Q5349" s="19"/>
      <c r="R5349" s="19"/>
    </row>
    <row r="5350" spans="13:18">
      <c r="M5350" s="19"/>
      <c r="N5350" s="19"/>
      <c r="O5350" s="19"/>
      <c r="P5350" s="19"/>
      <c r="Q5350" s="19"/>
      <c r="R5350" s="19"/>
    </row>
    <row r="5351" spans="13:18">
      <c r="M5351" s="19"/>
      <c r="N5351" s="19"/>
      <c r="O5351" s="19"/>
      <c r="P5351" s="19"/>
      <c r="Q5351" s="19"/>
      <c r="R5351" s="19"/>
    </row>
    <row r="5352" spans="13:18">
      <c r="M5352" s="19"/>
      <c r="N5352" s="19"/>
      <c r="O5352" s="19"/>
      <c r="P5352" s="19"/>
      <c r="Q5352" s="19"/>
      <c r="R5352" s="19"/>
    </row>
    <row r="5353" spans="13:18">
      <c r="M5353" s="19"/>
      <c r="N5353" s="19"/>
      <c r="O5353" s="19"/>
      <c r="P5353" s="19"/>
      <c r="Q5353" s="19"/>
      <c r="R5353" s="19"/>
    </row>
    <row r="5354" spans="13:18">
      <c r="M5354" s="19"/>
      <c r="N5354" s="19"/>
      <c r="O5354" s="19"/>
      <c r="P5354" s="19"/>
      <c r="Q5354" s="19"/>
      <c r="R5354" s="19"/>
    </row>
    <row r="5355" spans="13:18">
      <c r="M5355" s="19"/>
      <c r="N5355" s="19"/>
      <c r="O5355" s="19"/>
      <c r="P5355" s="19"/>
      <c r="Q5355" s="19"/>
      <c r="R5355" s="19"/>
    </row>
    <row r="5356" spans="13:18">
      <c r="M5356" s="19"/>
      <c r="N5356" s="19"/>
      <c r="O5356" s="19"/>
      <c r="P5356" s="19"/>
      <c r="Q5356" s="19"/>
      <c r="R5356" s="19"/>
    </row>
    <row r="5357" spans="13:18">
      <c r="M5357" s="19"/>
      <c r="N5357" s="19"/>
      <c r="O5357" s="19"/>
      <c r="P5357" s="19"/>
      <c r="Q5357" s="19"/>
      <c r="R5357" s="19"/>
    </row>
    <row r="5358" spans="13:18">
      <c r="M5358" s="19"/>
      <c r="N5358" s="19"/>
      <c r="O5358" s="19"/>
      <c r="P5358" s="19"/>
      <c r="Q5358" s="19"/>
      <c r="R5358" s="19"/>
    </row>
    <row r="5359" spans="13:18">
      <c r="M5359" s="19"/>
      <c r="N5359" s="19"/>
      <c r="O5359" s="19"/>
      <c r="P5359" s="19"/>
      <c r="Q5359" s="19"/>
      <c r="R5359" s="19"/>
    </row>
    <row r="5360" spans="13:18">
      <c r="M5360" s="19"/>
      <c r="N5360" s="19"/>
      <c r="O5360" s="19"/>
      <c r="P5360" s="19"/>
      <c r="Q5360" s="19"/>
      <c r="R5360" s="19"/>
    </row>
    <row r="5361" spans="13:18">
      <c r="M5361" s="19"/>
      <c r="N5361" s="19"/>
      <c r="O5361" s="19"/>
      <c r="P5361" s="19"/>
      <c r="Q5361" s="19"/>
      <c r="R5361" s="19"/>
    </row>
    <row r="5362" spans="13:18">
      <c r="M5362" s="19"/>
      <c r="N5362" s="19"/>
      <c r="O5362" s="19"/>
      <c r="P5362" s="19"/>
      <c r="Q5362" s="19"/>
      <c r="R5362" s="19"/>
    </row>
    <row r="5363" spans="13:18">
      <c r="M5363" s="19"/>
      <c r="N5363" s="19"/>
      <c r="O5363" s="19"/>
      <c r="P5363" s="19"/>
      <c r="Q5363" s="19"/>
      <c r="R5363" s="19"/>
    </row>
    <row r="5364" spans="13:18">
      <c r="M5364" s="19"/>
      <c r="N5364" s="19"/>
      <c r="O5364" s="19"/>
      <c r="P5364" s="19"/>
      <c r="Q5364" s="19"/>
      <c r="R5364" s="19"/>
    </row>
    <row r="5365" spans="13:18">
      <c r="M5365" s="19"/>
      <c r="N5365" s="19"/>
      <c r="O5365" s="19"/>
      <c r="P5365" s="19"/>
      <c r="Q5365" s="19"/>
      <c r="R5365" s="19"/>
    </row>
    <row r="5366" spans="13:18">
      <c r="M5366" s="19"/>
      <c r="N5366" s="19"/>
      <c r="O5366" s="19"/>
      <c r="P5366" s="19"/>
      <c r="Q5366" s="19"/>
      <c r="R5366" s="19"/>
    </row>
    <row r="5367" spans="13:18">
      <c r="M5367" s="19"/>
      <c r="N5367" s="19"/>
      <c r="O5367" s="19"/>
      <c r="P5367" s="19"/>
      <c r="Q5367" s="19"/>
      <c r="R5367" s="19"/>
    </row>
    <row r="5368" spans="13:18">
      <c r="M5368" s="19"/>
      <c r="N5368" s="19"/>
      <c r="O5368" s="19"/>
      <c r="P5368" s="19"/>
      <c r="Q5368" s="19"/>
      <c r="R5368" s="19"/>
    </row>
    <row r="5369" spans="13:18">
      <c r="M5369" s="19"/>
      <c r="N5369" s="19"/>
      <c r="O5369" s="19"/>
      <c r="P5369" s="19"/>
      <c r="Q5369" s="19"/>
      <c r="R5369" s="19"/>
    </row>
    <row r="5370" spans="13:18">
      <c r="M5370" s="19"/>
      <c r="N5370" s="19"/>
      <c r="O5370" s="19"/>
      <c r="P5370" s="19"/>
      <c r="Q5370" s="19"/>
      <c r="R5370" s="19"/>
    </row>
    <row r="5371" spans="13:18">
      <c r="M5371" s="19"/>
      <c r="N5371" s="19"/>
      <c r="O5371" s="19"/>
      <c r="P5371" s="19"/>
      <c r="Q5371" s="19"/>
      <c r="R5371" s="19"/>
    </row>
    <row r="5372" spans="13:18">
      <c r="M5372" s="19"/>
      <c r="N5372" s="19"/>
      <c r="O5372" s="19"/>
      <c r="P5372" s="19"/>
      <c r="Q5372" s="19"/>
      <c r="R5372" s="19"/>
    </row>
    <row r="5373" spans="13:18">
      <c r="M5373" s="19"/>
      <c r="N5373" s="19"/>
      <c r="O5373" s="19"/>
      <c r="P5373" s="19"/>
      <c r="Q5373" s="19"/>
      <c r="R5373" s="19"/>
    </row>
    <row r="5374" spans="13:18">
      <c r="M5374" s="19"/>
      <c r="N5374" s="19"/>
      <c r="O5374" s="19"/>
      <c r="P5374" s="19"/>
      <c r="Q5374" s="19"/>
      <c r="R5374" s="19"/>
    </row>
    <row r="5375" spans="13:18">
      <c r="M5375" s="19"/>
      <c r="N5375" s="19"/>
      <c r="O5375" s="19"/>
      <c r="P5375" s="19"/>
      <c r="Q5375" s="19"/>
      <c r="R5375" s="19"/>
    </row>
    <row r="5376" spans="13:18">
      <c r="M5376" s="19"/>
      <c r="N5376" s="19"/>
      <c r="O5376" s="19"/>
      <c r="P5376" s="19"/>
      <c r="Q5376" s="19"/>
      <c r="R5376" s="19"/>
    </row>
    <row r="5377" spans="13:18">
      <c r="M5377" s="19"/>
      <c r="N5377" s="19"/>
      <c r="O5377" s="19"/>
      <c r="P5377" s="19"/>
      <c r="Q5377" s="19"/>
      <c r="R5377" s="19"/>
    </row>
    <row r="5378" spans="13:18">
      <c r="M5378" s="19"/>
      <c r="N5378" s="19"/>
      <c r="O5378" s="19"/>
      <c r="P5378" s="19"/>
      <c r="Q5378" s="19"/>
      <c r="R5378" s="19"/>
    </row>
    <row r="5379" spans="13:18">
      <c r="M5379" s="19"/>
      <c r="N5379" s="19"/>
      <c r="O5379" s="19"/>
      <c r="P5379" s="19"/>
      <c r="Q5379" s="19"/>
      <c r="R5379" s="19"/>
    </row>
    <row r="5380" spans="13:18">
      <c r="M5380" s="19"/>
      <c r="N5380" s="19"/>
      <c r="O5380" s="19"/>
      <c r="P5380" s="19"/>
      <c r="Q5380" s="19"/>
      <c r="R5380" s="19"/>
    </row>
    <row r="5381" spans="13:18">
      <c r="M5381" s="19"/>
      <c r="N5381" s="19"/>
      <c r="O5381" s="19"/>
      <c r="P5381" s="19"/>
      <c r="Q5381" s="19"/>
      <c r="R5381" s="19"/>
    </row>
    <row r="5382" spans="13:18">
      <c r="M5382" s="19"/>
      <c r="N5382" s="19"/>
      <c r="O5382" s="19"/>
      <c r="P5382" s="19"/>
      <c r="Q5382" s="19"/>
      <c r="R5382" s="19"/>
    </row>
    <row r="5383" spans="13:18">
      <c r="M5383" s="19"/>
      <c r="N5383" s="19"/>
      <c r="O5383" s="19"/>
      <c r="P5383" s="19"/>
      <c r="Q5383" s="19"/>
      <c r="R5383" s="19"/>
    </row>
    <row r="5384" spans="13:18">
      <c r="M5384" s="19"/>
      <c r="N5384" s="19"/>
      <c r="O5384" s="19"/>
      <c r="P5384" s="19"/>
      <c r="Q5384" s="19"/>
      <c r="R5384" s="19"/>
    </row>
    <row r="5385" spans="13:18">
      <c r="M5385" s="19"/>
      <c r="N5385" s="19"/>
      <c r="O5385" s="19"/>
      <c r="P5385" s="19"/>
      <c r="Q5385" s="19"/>
      <c r="R5385" s="19"/>
    </row>
    <row r="5386" spans="13:18">
      <c r="M5386" s="19"/>
      <c r="N5386" s="19"/>
      <c r="O5386" s="19"/>
      <c r="P5386" s="19"/>
      <c r="Q5386" s="19"/>
      <c r="R5386" s="19"/>
    </row>
    <row r="5387" spans="13:18">
      <c r="M5387" s="19"/>
      <c r="N5387" s="19"/>
      <c r="O5387" s="19"/>
      <c r="P5387" s="19"/>
      <c r="Q5387" s="19"/>
      <c r="R5387" s="19"/>
    </row>
    <row r="5388" spans="13:18">
      <c r="M5388" s="19"/>
      <c r="N5388" s="19"/>
      <c r="O5388" s="19"/>
      <c r="P5388" s="19"/>
      <c r="Q5388" s="19"/>
      <c r="R5388" s="19"/>
    </row>
    <row r="5389" spans="13:18">
      <c r="M5389" s="19"/>
      <c r="N5389" s="19"/>
      <c r="O5389" s="19"/>
      <c r="P5389" s="19"/>
      <c r="Q5389" s="19"/>
      <c r="R5389" s="19"/>
    </row>
    <row r="5390" spans="13:18">
      <c r="M5390" s="19"/>
      <c r="N5390" s="19"/>
      <c r="O5390" s="19"/>
      <c r="P5390" s="19"/>
      <c r="Q5390" s="19"/>
      <c r="R5390" s="19"/>
    </row>
    <row r="5391" spans="13:18">
      <c r="M5391" s="19"/>
      <c r="N5391" s="19"/>
      <c r="O5391" s="19"/>
      <c r="P5391" s="19"/>
      <c r="Q5391" s="19"/>
      <c r="R5391" s="19"/>
    </row>
    <row r="5392" spans="13:18">
      <c r="M5392" s="19"/>
      <c r="N5392" s="19"/>
      <c r="O5392" s="19"/>
      <c r="P5392" s="19"/>
      <c r="Q5392" s="19"/>
      <c r="R5392" s="19"/>
    </row>
    <row r="5393" spans="13:18">
      <c r="M5393" s="19"/>
      <c r="N5393" s="19"/>
      <c r="O5393" s="19"/>
      <c r="P5393" s="19"/>
      <c r="Q5393" s="19"/>
      <c r="R5393" s="19"/>
    </row>
    <row r="5394" spans="13:18">
      <c r="M5394" s="19"/>
      <c r="N5394" s="19"/>
      <c r="O5394" s="19"/>
      <c r="P5394" s="19"/>
      <c r="Q5394" s="19"/>
      <c r="R5394" s="19"/>
    </row>
    <row r="5395" spans="13:18">
      <c r="M5395" s="19"/>
      <c r="N5395" s="19"/>
      <c r="O5395" s="19"/>
      <c r="P5395" s="19"/>
      <c r="Q5395" s="19"/>
      <c r="R5395" s="19"/>
    </row>
    <row r="5396" spans="13:18">
      <c r="M5396" s="19"/>
      <c r="N5396" s="19"/>
      <c r="O5396" s="19"/>
      <c r="P5396" s="19"/>
      <c r="Q5396" s="19"/>
      <c r="R5396" s="19"/>
    </row>
    <row r="5397" spans="13:18">
      <c r="M5397" s="19"/>
      <c r="N5397" s="19"/>
      <c r="O5397" s="19"/>
      <c r="P5397" s="19"/>
      <c r="Q5397" s="19"/>
      <c r="R5397" s="19"/>
    </row>
    <row r="5398" spans="13:18">
      <c r="M5398" s="19"/>
      <c r="N5398" s="19"/>
      <c r="O5398" s="19"/>
      <c r="P5398" s="19"/>
      <c r="Q5398" s="19"/>
      <c r="R5398" s="19"/>
    </row>
    <row r="5399" spans="13:18">
      <c r="M5399" s="19"/>
      <c r="N5399" s="19"/>
      <c r="O5399" s="19"/>
      <c r="P5399" s="19"/>
      <c r="Q5399" s="19"/>
      <c r="R5399" s="19"/>
    </row>
    <row r="5400" spans="13:18">
      <c r="M5400" s="19"/>
      <c r="N5400" s="19"/>
      <c r="O5400" s="19"/>
      <c r="P5400" s="19"/>
      <c r="Q5400" s="19"/>
      <c r="R5400" s="19"/>
    </row>
    <row r="5401" spans="13:18">
      <c r="M5401" s="19"/>
      <c r="N5401" s="19"/>
      <c r="O5401" s="19"/>
      <c r="P5401" s="19"/>
      <c r="Q5401" s="19"/>
      <c r="R5401" s="19"/>
    </row>
    <row r="5402" spans="13:18">
      <c r="M5402" s="19"/>
      <c r="N5402" s="19"/>
      <c r="O5402" s="19"/>
      <c r="P5402" s="19"/>
      <c r="Q5402" s="19"/>
      <c r="R5402" s="19"/>
    </row>
    <row r="5403" spans="13:18">
      <c r="M5403" s="19"/>
      <c r="N5403" s="19"/>
      <c r="O5403" s="19"/>
      <c r="P5403" s="19"/>
      <c r="Q5403" s="19"/>
      <c r="R5403" s="19"/>
    </row>
    <row r="5404" spans="13:18">
      <c r="M5404" s="19"/>
      <c r="N5404" s="19"/>
      <c r="O5404" s="19"/>
      <c r="P5404" s="19"/>
      <c r="Q5404" s="19"/>
      <c r="R5404" s="19"/>
    </row>
    <row r="5405" spans="13:18">
      <c r="M5405" s="19"/>
      <c r="N5405" s="19"/>
      <c r="O5405" s="19"/>
      <c r="P5405" s="19"/>
      <c r="Q5405" s="19"/>
      <c r="R5405" s="19"/>
    </row>
    <row r="5406" spans="13:18">
      <c r="M5406" s="19"/>
      <c r="N5406" s="19"/>
      <c r="O5406" s="19"/>
      <c r="P5406" s="19"/>
      <c r="Q5406" s="19"/>
      <c r="R5406" s="19"/>
    </row>
    <row r="5407" spans="13:18">
      <c r="M5407" s="19"/>
      <c r="N5407" s="19"/>
      <c r="O5407" s="19"/>
      <c r="P5407" s="19"/>
      <c r="Q5407" s="19"/>
      <c r="R5407" s="19"/>
    </row>
    <row r="5408" spans="13:18">
      <c r="M5408" s="19"/>
      <c r="N5408" s="19"/>
      <c r="O5408" s="19"/>
      <c r="P5408" s="19"/>
      <c r="Q5408" s="19"/>
      <c r="R5408" s="19"/>
    </row>
    <row r="5409" spans="13:18">
      <c r="M5409" s="19"/>
      <c r="N5409" s="19"/>
      <c r="O5409" s="19"/>
      <c r="P5409" s="19"/>
      <c r="Q5409" s="19"/>
      <c r="R5409" s="19"/>
    </row>
    <row r="5410" spans="13:18">
      <c r="M5410" s="19"/>
      <c r="N5410" s="19"/>
      <c r="O5410" s="19"/>
      <c r="P5410" s="19"/>
      <c r="Q5410" s="19"/>
      <c r="R5410" s="19"/>
    </row>
    <row r="5411" spans="13:18">
      <c r="M5411" s="19"/>
      <c r="N5411" s="19"/>
      <c r="O5411" s="19"/>
      <c r="P5411" s="19"/>
      <c r="Q5411" s="19"/>
      <c r="R5411" s="19"/>
    </row>
    <row r="5412" spans="13:18">
      <c r="M5412" s="19"/>
      <c r="N5412" s="19"/>
      <c r="O5412" s="19"/>
      <c r="P5412" s="19"/>
      <c r="Q5412" s="19"/>
      <c r="R5412" s="19"/>
    </row>
    <row r="5413" spans="13:18">
      <c r="M5413" s="19"/>
      <c r="N5413" s="19"/>
      <c r="O5413" s="19"/>
      <c r="P5413" s="19"/>
      <c r="Q5413" s="19"/>
      <c r="R5413" s="19"/>
    </row>
    <row r="5414" spans="13:18">
      <c r="M5414" s="19"/>
      <c r="N5414" s="19"/>
      <c r="O5414" s="19"/>
      <c r="P5414" s="19"/>
      <c r="Q5414" s="19"/>
      <c r="R5414" s="19"/>
    </row>
    <row r="5415" spans="13:18">
      <c r="M5415" s="19"/>
      <c r="N5415" s="19"/>
      <c r="O5415" s="19"/>
      <c r="P5415" s="19"/>
      <c r="Q5415" s="19"/>
      <c r="R5415" s="19"/>
    </row>
    <row r="5416" spans="13:18">
      <c r="M5416" s="19"/>
      <c r="N5416" s="19"/>
      <c r="O5416" s="19"/>
      <c r="P5416" s="19"/>
      <c r="Q5416" s="19"/>
      <c r="R5416" s="19"/>
    </row>
    <row r="5417" spans="13:18">
      <c r="M5417" s="19"/>
      <c r="N5417" s="19"/>
      <c r="O5417" s="19"/>
      <c r="P5417" s="19"/>
      <c r="Q5417" s="19"/>
      <c r="R5417" s="19"/>
    </row>
    <row r="5418" spans="13:18">
      <c r="M5418" s="19"/>
      <c r="N5418" s="19"/>
      <c r="O5418" s="19"/>
      <c r="P5418" s="19"/>
      <c r="Q5418" s="19"/>
      <c r="R5418" s="19"/>
    </row>
    <row r="5419" spans="13:18">
      <c r="M5419" s="19"/>
      <c r="N5419" s="19"/>
      <c r="O5419" s="19"/>
      <c r="P5419" s="19"/>
      <c r="Q5419" s="19"/>
      <c r="R5419" s="19"/>
    </row>
    <row r="5420" spans="13:18">
      <c r="M5420" s="19"/>
      <c r="N5420" s="19"/>
      <c r="O5420" s="19"/>
      <c r="P5420" s="19"/>
      <c r="Q5420" s="19"/>
      <c r="R5420" s="19"/>
    </row>
    <row r="5421" spans="13:18">
      <c r="M5421" s="19"/>
      <c r="N5421" s="19"/>
      <c r="O5421" s="19"/>
      <c r="P5421" s="19"/>
      <c r="Q5421" s="19"/>
      <c r="R5421" s="19"/>
    </row>
    <row r="5422" spans="13:18">
      <c r="M5422" s="19"/>
      <c r="N5422" s="19"/>
      <c r="O5422" s="19"/>
      <c r="P5422" s="19"/>
      <c r="Q5422" s="19"/>
      <c r="R5422" s="19"/>
    </row>
    <row r="5423" spans="13:18">
      <c r="M5423" s="19"/>
      <c r="N5423" s="19"/>
      <c r="O5423" s="19"/>
      <c r="P5423" s="19"/>
      <c r="Q5423" s="19"/>
      <c r="R5423" s="19"/>
    </row>
    <row r="5424" spans="13:18">
      <c r="M5424" s="19"/>
      <c r="N5424" s="19"/>
      <c r="O5424" s="19"/>
      <c r="P5424" s="19"/>
      <c r="Q5424" s="19"/>
      <c r="R5424" s="19"/>
    </row>
    <row r="5425" spans="13:18">
      <c r="M5425" s="19"/>
      <c r="N5425" s="19"/>
      <c r="O5425" s="19"/>
      <c r="P5425" s="19"/>
      <c r="Q5425" s="19"/>
      <c r="R5425" s="19"/>
    </row>
    <row r="5426" spans="13:18">
      <c r="M5426" s="19"/>
      <c r="N5426" s="19"/>
      <c r="O5426" s="19"/>
      <c r="P5426" s="19"/>
      <c r="Q5426" s="19"/>
      <c r="R5426" s="19"/>
    </row>
    <row r="5427" spans="13:18">
      <c r="M5427" s="19"/>
      <c r="N5427" s="19"/>
      <c r="O5427" s="19"/>
      <c r="P5427" s="19"/>
      <c r="Q5427" s="19"/>
      <c r="R5427" s="19"/>
    </row>
    <row r="5428" spans="13:18">
      <c r="M5428" s="19"/>
      <c r="N5428" s="19"/>
      <c r="O5428" s="19"/>
      <c r="P5428" s="19"/>
      <c r="Q5428" s="19"/>
      <c r="R5428" s="19"/>
    </row>
    <row r="5429" spans="13:18">
      <c r="M5429" s="19"/>
      <c r="N5429" s="19"/>
      <c r="O5429" s="19"/>
      <c r="P5429" s="19"/>
      <c r="Q5429" s="19"/>
      <c r="R5429" s="19"/>
    </row>
    <row r="5430" spans="13:18">
      <c r="M5430" s="19"/>
      <c r="N5430" s="19"/>
      <c r="O5430" s="19"/>
      <c r="P5430" s="19"/>
      <c r="Q5430" s="19"/>
      <c r="R5430" s="19"/>
    </row>
    <row r="5431" spans="13:18">
      <c r="M5431" s="19"/>
      <c r="N5431" s="19"/>
      <c r="O5431" s="19"/>
      <c r="P5431" s="19"/>
      <c r="Q5431" s="19"/>
      <c r="R5431" s="19"/>
    </row>
    <row r="5432" spans="13:18">
      <c r="M5432" s="19"/>
      <c r="N5432" s="19"/>
      <c r="O5432" s="19"/>
      <c r="P5432" s="19"/>
      <c r="Q5432" s="19"/>
      <c r="R5432" s="19"/>
    </row>
    <row r="5433" spans="13:18">
      <c r="M5433" s="19"/>
      <c r="N5433" s="19"/>
      <c r="O5433" s="19"/>
      <c r="P5433" s="19"/>
      <c r="Q5433" s="19"/>
      <c r="R5433" s="19"/>
    </row>
    <row r="5434" spans="13:18">
      <c r="M5434" s="19"/>
      <c r="N5434" s="19"/>
      <c r="O5434" s="19"/>
      <c r="P5434" s="19"/>
      <c r="Q5434" s="19"/>
      <c r="R5434" s="19"/>
    </row>
    <row r="5435" spans="13:18">
      <c r="M5435" s="19"/>
      <c r="N5435" s="19"/>
      <c r="O5435" s="19"/>
      <c r="P5435" s="19"/>
      <c r="Q5435" s="19"/>
      <c r="R5435" s="19"/>
    </row>
    <row r="5436" spans="13:18">
      <c r="M5436" s="19"/>
      <c r="N5436" s="19"/>
      <c r="O5436" s="19"/>
      <c r="P5436" s="19"/>
      <c r="Q5436" s="19"/>
      <c r="R5436" s="19"/>
    </row>
    <row r="5437" spans="13:18">
      <c r="M5437" s="19"/>
      <c r="N5437" s="19"/>
      <c r="O5437" s="19"/>
      <c r="P5437" s="19"/>
      <c r="Q5437" s="19"/>
      <c r="R5437" s="19"/>
    </row>
    <row r="5438" spans="13:18">
      <c r="M5438" s="19"/>
      <c r="N5438" s="19"/>
      <c r="O5438" s="19"/>
      <c r="P5438" s="19"/>
      <c r="Q5438" s="19"/>
      <c r="R5438" s="19"/>
    </row>
    <row r="5439" spans="13:18">
      <c r="M5439" s="19"/>
      <c r="N5439" s="19"/>
      <c r="O5439" s="19"/>
      <c r="P5439" s="19"/>
      <c r="Q5439" s="19"/>
      <c r="R5439" s="19"/>
    </row>
    <row r="5440" spans="13:18">
      <c r="M5440" s="19"/>
      <c r="N5440" s="19"/>
      <c r="O5440" s="19"/>
      <c r="P5440" s="19"/>
      <c r="Q5440" s="19"/>
      <c r="R5440" s="19"/>
    </row>
    <row r="5441" spans="13:18">
      <c r="M5441" s="19"/>
      <c r="N5441" s="19"/>
      <c r="O5441" s="19"/>
      <c r="P5441" s="19"/>
      <c r="Q5441" s="19"/>
      <c r="R5441" s="19"/>
    </row>
    <row r="5442" spans="13:18">
      <c r="M5442" s="19"/>
      <c r="N5442" s="19"/>
      <c r="O5442" s="19"/>
      <c r="P5442" s="19"/>
      <c r="Q5442" s="19"/>
      <c r="R5442" s="19"/>
    </row>
    <row r="5443" spans="13:18">
      <c r="M5443" s="19"/>
      <c r="N5443" s="19"/>
      <c r="O5443" s="19"/>
      <c r="P5443" s="19"/>
      <c r="Q5443" s="19"/>
      <c r="R5443" s="19"/>
    </row>
    <row r="5444" spans="13:18">
      <c r="M5444" s="19"/>
      <c r="N5444" s="19"/>
      <c r="O5444" s="19"/>
      <c r="P5444" s="19"/>
      <c r="Q5444" s="19"/>
      <c r="R5444" s="19"/>
    </row>
    <row r="5445" spans="13:18">
      <c r="M5445" s="19"/>
      <c r="N5445" s="19"/>
      <c r="O5445" s="19"/>
      <c r="P5445" s="19"/>
      <c r="Q5445" s="19"/>
      <c r="R5445" s="19"/>
    </row>
    <row r="5446" spans="13:18">
      <c r="M5446" s="19"/>
      <c r="N5446" s="19"/>
      <c r="O5446" s="19"/>
      <c r="P5446" s="19"/>
      <c r="Q5446" s="19"/>
      <c r="R5446" s="19"/>
    </row>
    <row r="5447" spans="13:18">
      <c r="M5447" s="19"/>
      <c r="N5447" s="19"/>
      <c r="O5447" s="19"/>
      <c r="P5447" s="19"/>
      <c r="Q5447" s="19"/>
      <c r="R5447" s="19"/>
    </row>
    <row r="5448" spans="13:18">
      <c r="M5448" s="19"/>
      <c r="N5448" s="19"/>
      <c r="O5448" s="19"/>
      <c r="P5448" s="19"/>
      <c r="Q5448" s="19"/>
      <c r="R5448" s="19"/>
    </row>
    <row r="5449" spans="13:18">
      <c r="M5449" s="19"/>
      <c r="N5449" s="19"/>
      <c r="O5449" s="19"/>
      <c r="P5449" s="19"/>
      <c r="Q5449" s="19"/>
      <c r="R5449" s="19"/>
    </row>
    <row r="5450" spans="13:18">
      <c r="M5450" s="19"/>
      <c r="N5450" s="19"/>
      <c r="O5450" s="19"/>
      <c r="P5450" s="19"/>
      <c r="Q5450" s="19"/>
      <c r="R5450" s="19"/>
    </row>
    <row r="5451" spans="13:18">
      <c r="M5451" s="19"/>
      <c r="N5451" s="19"/>
      <c r="O5451" s="19"/>
      <c r="P5451" s="19"/>
      <c r="Q5451" s="19"/>
      <c r="R5451" s="19"/>
    </row>
    <row r="5452" spans="13:18">
      <c r="M5452" s="19"/>
      <c r="N5452" s="19"/>
      <c r="O5452" s="19"/>
      <c r="P5452" s="19"/>
      <c r="Q5452" s="19"/>
      <c r="R5452" s="19"/>
    </row>
    <row r="5453" spans="13:18">
      <c r="M5453" s="19"/>
      <c r="N5453" s="19"/>
      <c r="O5453" s="19"/>
      <c r="P5453" s="19"/>
      <c r="Q5453" s="19"/>
      <c r="R5453" s="19"/>
    </row>
    <row r="5454" spans="13:18">
      <c r="M5454" s="19"/>
      <c r="N5454" s="19"/>
      <c r="O5454" s="19"/>
      <c r="P5454" s="19"/>
      <c r="Q5454" s="19"/>
      <c r="R5454" s="19"/>
    </row>
    <row r="5455" spans="13:18">
      <c r="M5455" s="19"/>
      <c r="N5455" s="19"/>
      <c r="O5455" s="19"/>
      <c r="P5455" s="19"/>
      <c r="Q5455" s="19"/>
      <c r="R5455" s="19"/>
    </row>
    <row r="5456" spans="13:18">
      <c r="M5456" s="19"/>
      <c r="N5456" s="19"/>
      <c r="O5456" s="19"/>
      <c r="P5456" s="19"/>
      <c r="Q5456" s="19"/>
      <c r="R5456" s="19"/>
    </row>
    <row r="5457" spans="13:18">
      <c r="M5457" s="19"/>
      <c r="N5457" s="19"/>
      <c r="O5457" s="19"/>
      <c r="P5457" s="19"/>
      <c r="Q5457" s="19"/>
      <c r="R5457" s="19"/>
    </row>
    <row r="5458" spans="13:18">
      <c r="M5458" s="19"/>
      <c r="N5458" s="19"/>
      <c r="O5458" s="19"/>
      <c r="P5458" s="19"/>
      <c r="Q5458" s="19"/>
      <c r="R5458" s="19"/>
    </row>
    <row r="5459" spans="13:18">
      <c r="M5459" s="19"/>
      <c r="N5459" s="19"/>
      <c r="O5459" s="19"/>
      <c r="P5459" s="19"/>
      <c r="Q5459" s="19"/>
      <c r="R5459" s="19"/>
    </row>
    <row r="5460" spans="13:18">
      <c r="M5460" s="19"/>
      <c r="N5460" s="19"/>
      <c r="O5460" s="19"/>
      <c r="P5460" s="19"/>
      <c r="Q5460" s="19"/>
      <c r="R5460" s="19"/>
    </row>
    <row r="5461" spans="13:18">
      <c r="M5461" s="19"/>
      <c r="N5461" s="19"/>
      <c r="O5461" s="19"/>
      <c r="P5461" s="19"/>
      <c r="Q5461" s="19"/>
      <c r="R5461" s="19"/>
    </row>
    <row r="5462" spans="13:18">
      <c r="M5462" s="19"/>
      <c r="N5462" s="19"/>
      <c r="O5462" s="19"/>
      <c r="P5462" s="19"/>
      <c r="Q5462" s="19"/>
      <c r="R5462" s="19"/>
    </row>
    <row r="5463" spans="13:18">
      <c r="M5463" s="19"/>
      <c r="N5463" s="19"/>
      <c r="O5463" s="19"/>
      <c r="P5463" s="19"/>
      <c r="Q5463" s="19"/>
      <c r="R5463" s="19"/>
    </row>
    <row r="5464" spans="13:18">
      <c r="M5464" s="19"/>
      <c r="N5464" s="19"/>
      <c r="O5464" s="19"/>
      <c r="P5464" s="19"/>
      <c r="Q5464" s="19"/>
      <c r="R5464" s="19"/>
    </row>
    <row r="5465" spans="13:18">
      <c r="M5465" s="19"/>
      <c r="N5465" s="19"/>
      <c r="O5465" s="19"/>
      <c r="P5465" s="19"/>
      <c r="Q5465" s="19"/>
      <c r="R5465" s="19"/>
    </row>
    <row r="5466" spans="13:18">
      <c r="M5466" s="19"/>
      <c r="N5466" s="19"/>
      <c r="O5466" s="19"/>
      <c r="P5466" s="19"/>
      <c r="Q5466" s="19"/>
      <c r="R5466" s="19"/>
    </row>
    <row r="5467" spans="13:18">
      <c r="M5467" s="19"/>
      <c r="N5467" s="19"/>
      <c r="O5467" s="19"/>
      <c r="P5467" s="19"/>
      <c r="Q5467" s="19"/>
      <c r="R5467" s="19"/>
    </row>
    <row r="5468" spans="13:18">
      <c r="M5468" s="19"/>
      <c r="N5468" s="19"/>
      <c r="O5468" s="19"/>
      <c r="P5468" s="19"/>
      <c r="Q5468" s="19"/>
      <c r="R5468" s="19"/>
    </row>
    <row r="5469" spans="13:18">
      <c r="M5469" s="19"/>
      <c r="N5469" s="19"/>
      <c r="O5469" s="19"/>
      <c r="P5469" s="19"/>
      <c r="Q5469" s="19"/>
      <c r="R5469" s="19"/>
    </row>
    <row r="5470" spans="13:18">
      <c r="M5470" s="19"/>
      <c r="N5470" s="19"/>
      <c r="O5470" s="19"/>
      <c r="P5470" s="19"/>
      <c r="Q5470" s="19"/>
      <c r="R5470" s="19"/>
    </row>
    <row r="5471" spans="13:18">
      <c r="M5471" s="19"/>
      <c r="N5471" s="19"/>
      <c r="O5471" s="19"/>
      <c r="P5471" s="19"/>
      <c r="Q5471" s="19"/>
      <c r="R5471" s="19"/>
    </row>
    <row r="5472" spans="13:18">
      <c r="M5472" s="19"/>
      <c r="N5472" s="19"/>
      <c r="O5472" s="19"/>
      <c r="P5472" s="19"/>
      <c r="Q5472" s="19"/>
      <c r="R5472" s="19"/>
    </row>
    <row r="5473" spans="13:18">
      <c r="M5473" s="19"/>
      <c r="N5473" s="19"/>
      <c r="O5473" s="19"/>
      <c r="P5473" s="19"/>
      <c r="Q5473" s="19"/>
      <c r="R5473" s="19"/>
    </row>
    <row r="5474" spans="13:18">
      <c r="M5474" s="19"/>
      <c r="N5474" s="19"/>
      <c r="O5474" s="19"/>
      <c r="P5474" s="19"/>
      <c r="Q5474" s="19"/>
      <c r="R5474" s="19"/>
    </row>
    <row r="5475" spans="13:18">
      <c r="M5475" s="19"/>
      <c r="N5475" s="19"/>
      <c r="O5475" s="19"/>
      <c r="P5475" s="19"/>
      <c r="Q5475" s="19"/>
      <c r="R5475" s="19"/>
    </row>
    <row r="5476" spans="13:18">
      <c r="M5476" s="19"/>
      <c r="N5476" s="19"/>
      <c r="O5476" s="19"/>
      <c r="P5476" s="19"/>
      <c r="Q5476" s="19"/>
      <c r="R5476" s="19"/>
    </row>
    <row r="5477" spans="13:18">
      <c r="M5477" s="19"/>
      <c r="N5477" s="19"/>
      <c r="O5477" s="19"/>
      <c r="P5477" s="19"/>
      <c r="Q5477" s="19"/>
      <c r="R5477" s="19"/>
    </row>
    <row r="5478" spans="13:18">
      <c r="M5478" s="19"/>
      <c r="N5478" s="19"/>
      <c r="O5478" s="19"/>
      <c r="P5478" s="19"/>
      <c r="Q5478" s="19"/>
      <c r="R5478" s="19"/>
    </row>
    <row r="5479" spans="13:18">
      <c r="M5479" s="19"/>
      <c r="N5479" s="19"/>
      <c r="O5479" s="19"/>
      <c r="P5479" s="19"/>
      <c r="Q5479" s="19"/>
      <c r="R5479" s="19"/>
    </row>
    <row r="5480" spans="13:18">
      <c r="M5480" s="19"/>
      <c r="N5480" s="19"/>
      <c r="O5480" s="19"/>
      <c r="P5480" s="19"/>
      <c r="Q5480" s="19"/>
      <c r="R5480" s="19"/>
    </row>
    <row r="5481" spans="13:18">
      <c r="M5481" s="19"/>
      <c r="N5481" s="19"/>
      <c r="O5481" s="19"/>
      <c r="P5481" s="19"/>
      <c r="Q5481" s="19"/>
      <c r="R5481" s="19"/>
    </row>
    <row r="5482" spans="13:18">
      <c r="M5482" s="19"/>
      <c r="N5482" s="19"/>
      <c r="O5482" s="19"/>
      <c r="P5482" s="19"/>
      <c r="Q5482" s="19"/>
      <c r="R5482" s="19"/>
    </row>
    <row r="5483" spans="13:18">
      <c r="M5483" s="19"/>
      <c r="N5483" s="19"/>
      <c r="O5483" s="19"/>
      <c r="P5483" s="19"/>
      <c r="Q5483" s="19"/>
      <c r="R5483" s="19"/>
    </row>
    <row r="5484" spans="13:18">
      <c r="M5484" s="19"/>
      <c r="N5484" s="19"/>
      <c r="O5484" s="19"/>
      <c r="P5484" s="19"/>
      <c r="Q5484" s="19"/>
      <c r="R5484" s="19"/>
    </row>
    <row r="5485" spans="13:18">
      <c r="M5485" s="19"/>
      <c r="N5485" s="19"/>
      <c r="O5485" s="19"/>
      <c r="P5485" s="19"/>
      <c r="Q5485" s="19"/>
      <c r="R5485" s="19"/>
    </row>
    <row r="5486" spans="13:18">
      <c r="M5486" s="19"/>
      <c r="N5486" s="19"/>
      <c r="O5486" s="19"/>
      <c r="P5486" s="19"/>
      <c r="Q5486" s="19"/>
      <c r="R5486" s="19"/>
    </row>
    <row r="5487" spans="13:18">
      <c r="M5487" s="19"/>
      <c r="N5487" s="19"/>
      <c r="O5487" s="19"/>
      <c r="P5487" s="19"/>
      <c r="Q5487" s="19"/>
      <c r="R5487" s="19"/>
    </row>
    <row r="5488" spans="13:18">
      <c r="M5488" s="19"/>
      <c r="N5488" s="19"/>
      <c r="O5488" s="19"/>
      <c r="P5488" s="19"/>
      <c r="Q5488" s="19"/>
      <c r="R5488" s="19"/>
    </row>
    <row r="5489" spans="13:18">
      <c r="M5489" s="19"/>
      <c r="N5489" s="19"/>
      <c r="O5489" s="19"/>
      <c r="P5489" s="19"/>
      <c r="Q5489" s="19"/>
      <c r="R5489" s="19"/>
    </row>
    <row r="5490" spans="13:18">
      <c r="M5490" s="19"/>
      <c r="N5490" s="19"/>
      <c r="O5490" s="19"/>
      <c r="P5490" s="19"/>
      <c r="Q5490" s="19"/>
      <c r="R5490" s="19"/>
    </row>
    <row r="5491" spans="13:18">
      <c r="M5491" s="19"/>
      <c r="N5491" s="19"/>
      <c r="O5491" s="19"/>
      <c r="P5491" s="19"/>
      <c r="Q5491" s="19"/>
      <c r="R5491" s="19"/>
    </row>
    <row r="5492" spans="13:18">
      <c r="M5492" s="19"/>
      <c r="N5492" s="19"/>
      <c r="O5492" s="19"/>
      <c r="P5492" s="19"/>
      <c r="Q5492" s="19"/>
      <c r="R5492" s="19"/>
    </row>
    <row r="5493" spans="13:18">
      <c r="M5493" s="19"/>
      <c r="N5493" s="19"/>
      <c r="O5493" s="19"/>
      <c r="P5493" s="19"/>
      <c r="Q5493" s="19"/>
      <c r="R5493" s="19"/>
    </row>
    <row r="5494" spans="13:18">
      <c r="M5494" s="19"/>
      <c r="N5494" s="19"/>
      <c r="O5494" s="19"/>
      <c r="P5494" s="19"/>
      <c r="Q5494" s="19"/>
      <c r="R5494" s="19"/>
    </row>
    <row r="5495" spans="13:18">
      <c r="M5495" s="19"/>
      <c r="N5495" s="19"/>
      <c r="O5495" s="19"/>
      <c r="P5495" s="19"/>
      <c r="Q5495" s="19"/>
      <c r="R5495" s="19"/>
    </row>
    <row r="5496" spans="13:18">
      <c r="M5496" s="19"/>
      <c r="N5496" s="19"/>
      <c r="O5496" s="19"/>
      <c r="P5496" s="19"/>
      <c r="Q5496" s="19"/>
      <c r="R5496" s="19"/>
    </row>
    <row r="5497" spans="13:18">
      <c r="M5497" s="19"/>
      <c r="N5497" s="19"/>
      <c r="O5497" s="19"/>
      <c r="P5497" s="19"/>
      <c r="Q5497" s="19"/>
      <c r="R5497" s="19"/>
    </row>
    <row r="5498" spans="13:18">
      <c r="M5498" s="19"/>
      <c r="N5498" s="19"/>
      <c r="O5498" s="19"/>
      <c r="P5498" s="19"/>
      <c r="Q5498" s="19"/>
      <c r="R5498" s="19"/>
    </row>
    <row r="5499" spans="13:18">
      <c r="M5499" s="19"/>
      <c r="N5499" s="19"/>
      <c r="O5499" s="19"/>
      <c r="P5499" s="19"/>
      <c r="Q5499" s="19"/>
      <c r="R5499" s="19"/>
    </row>
    <row r="5500" spans="13:18">
      <c r="M5500" s="19"/>
      <c r="N5500" s="19"/>
      <c r="O5500" s="19"/>
      <c r="P5500" s="19"/>
      <c r="Q5500" s="19"/>
      <c r="R5500" s="19"/>
    </row>
    <row r="5501" spans="13:18">
      <c r="M5501" s="19"/>
      <c r="N5501" s="19"/>
      <c r="O5501" s="19"/>
      <c r="P5501" s="19"/>
      <c r="Q5501" s="19"/>
      <c r="R5501" s="19"/>
    </row>
    <row r="5502" spans="13:18">
      <c r="M5502" s="19"/>
      <c r="N5502" s="19"/>
      <c r="O5502" s="19"/>
      <c r="P5502" s="19"/>
      <c r="Q5502" s="19"/>
      <c r="R5502" s="19"/>
    </row>
    <row r="5503" spans="13:18">
      <c r="M5503" s="19"/>
      <c r="N5503" s="19"/>
      <c r="O5503" s="19"/>
      <c r="P5503" s="19"/>
      <c r="Q5503" s="19"/>
      <c r="R5503" s="19"/>
    </row>
    <row r="5504" spans="13:18">
      <c r="M5504" s="19"/>
      <c r="N5504" s="19"/>
      <c r="O5504" s="19"/>
      <c r="P5504" s="19"/>
      <c r="Q5504" s="19"/>
      <c r="R5504" s="19"/>
    </row>
    <row r="5505" spans="13:18">
      <c r="M5505" s="19"/>
      <c r="N5505" s="19"/>
      <c r="O5505" s="19"/>
      <c r="P5505" s="19"/>
      <c r="Q5505" s="19"/>
      <c r="R5505" s="19"/>
    </row>
    <row r="5506" spans="13:18">
      <c r="M5506" s="19"/>
      <c r="N5506" s="19"/>
      <c r="O5506" s="19"/>
      <c r="P5506" s="19"/>
      <c r="Q5506" s="19"/>
      <c r="R5506" s="19"/>
    </row>
    <row r="5507" spans="13:18">
      <c r="M5507" s="19"/>
      <c r="N5507" s="19"/>
      <c r="O5507" s="19"/>
      <c r="P5507" s="19"/>
      <c r="Q5507" s="19"/>
      <c r="R5507" s="19"/>
    </row>
    <row r="5508" spans="13:18">
      <c r="M5508" s="19"/>
      <c r="N5508" s="19"/>
      <c r="O5508" s="19"/>
      <c r="P5508" s="19"/>
      <c r="Q5508" s="19"/>
      <c r="R5508" s="19"/>
    </row>
    <row r="5509" spans="13:18">
      <c r="M5509" s="19"/>
      <c r="N5509" s="19"/>
      <c r="O5509" s="19"/>
      <c r="P5509" s="19"/>
      <c r="Q5509" s="19"/>
      <c r="R5509" s="19"/>
    </row>
    <row r="5510" spans="13:18">
      <c r="M5510" s="19"/>
      <c r="N5510" s="19"/>
      <c r="O5510" s="19"/>
      <c r="P5510" s="19"/>
      <c r="Q5510" s="19"/>
      <c r="R5510" s="19"/>
    </row>
    <row r="5511" spans="13:18">
      <c r="M5511" s="19"/>
      <c r="N5511" s="19"/>
      <c r="O5511" s="19"/>
      <c r="P5511" s="19"/>
      <c r="Q5511" s="19"/>
      <c r="R5511" s="19"/>
    </row>
    <row r="5512" spans="13:18">
      <c r="M5512" s="19"/>
      <c r="N5512" s="19"/>
      <c r="O5512" s="19"/>
      <c r="P5512" s="19"/>
      <c r="Q5512" s="19"/>
      <c r="R5512" s="19"/>
    </row>
    <row r="5513" spans="13:18">
      <c r="M5513" s="19"/>
      <c r="N5513" s="19"/>
      <c r="O5513" s="19"/>
      <c r="P5513" s="19"/>
      <c r="Q5513" s="19"/>
      <c r="R5513" s="19"/>
    </row>
    <row r="5514" spans="13:18">
      <c r="M5514" s="19"/>
      <c r="N5514" s="19"/>
      <c r="O5514" s="19"/>
      <c r="P5514" s="19"/>
      <c r="Q5514" s="19"/>
      <c r="R5514" s="19"/>
    </row>
    <row r="5515" spans="13:18">
      <c r="M5515" s="19"/>
      <c r="N5515" s="19"/>
      <c r="O5515" s="19"/>
      <c r="P5515" s="19"/>
      <c r="Q5515" s="19"/>
      <c r="R5515" s="19"/>
    </row>
    <row r="5516" spans="13:18">
      <c r="M5516" s="19"/>
      <c r="N5516" s="19"/>
      <c r="O5516" s="19"/>
      <c r="P5516" s="19"/>
      <c r="Q5516" s="19"/>
      <c r="R5516" s="19"/>
    </row>
    <row r="5517" spans="13:18">
      <c r="M5517" s="19"/>
      <c r="N5517" s="19"/>
      <c r="O5517" s="19"/>
      <c r="P5517" s="19"/>
      <c r="Q5517" s="19"/>
      <c r="R5517" s="19"/>
    </row>
    <row r="5518" spans="13:18">
      <c r="M5518" s="19"/>
      <c r="N5518" s="19"/>
      <c r="O5518" s="19"/>
      <c r="P5518" s="19"/>
      <c r="Q5518" s="19"/>
      <c r="R5518" s="19"/>
    </row>
    <row r="5519" spans="13:18">
      <c r="M5519" s="19"/>
      <c r="N5519" s="19"/>
      <c r="O5519" s="19"/>
      <c r="P5519" s="19"/>
      <c r="Q5519" s="19"/>
      <c r="R5519" s="19"/>
    </row>
    <row r="5520" spans="13:18">
      <c r="M5520" s="19"/>
      <c r="N5520" s="19"/>
      <c r="O5520" s="19"/>
      <c r="P5520" s="19"/>
      <c r="Q5520" s="19"/>
      <c r="R5520" s="19"/>
    </row>
    <row r="5521" spans="13:18">
      <c r="M5521" s="19"/>
      <c r="N5521" s="19"/>
      <c r="O5521" s="19"/>
      <c r="P5521" s="19"/>
      <c r="Q5521" s="19"/>
      <c r="R5521" s="19"/>
    </row>
    <row r="5522" spans="13:18">
      <c r="M5522" s="19"/>
      <c r="N5522" s="19"/>
      <c r="O5522" s="19"/>
      <c r="P5522" s="19"/>
      <c r="Q5522" s="19"/>
      <c r="R5522" s="19"/>
    </row>
    <row r="5523" spans="13:18">
      <c r="M5523" s="19"/>
      <c r="N5523" s="19"/>
      <c r="O5523" s="19"/>
      <c r="P5523" s="19"/>
      <c r="Q5523" s="19"/>
      <c r="R5523" s="19"/>
    </row>
    <row r="5524" spans="13:18">
      <c r="M5524" s="19"/>
      <c r="N5524" s="19"/>
      <c r="O5524" s="19"/>
      <c r="P5524" s="19"/>
      <c r="Q5524" s="19"/>
      <c r="R5524" s="19"/>
    </row>
    <row r="5525" spans="13:18">
      <c r="M5525" s="19"/>
      <c r="N5525" s="19"/>
      <c r="O5525" s="19"/>
      <c r="P5525" s="19"/>
      <c r="Q5525" s="19"/>
      <c r="R5525" s="19"/>
    </row>
    <row r="5526" spans="13:18">
      <c r="M5526" s="19"/>
      <c r="N5526" s="19"/>
      <c r="O5526" s="19"/>
      <c r="P5526" s="19"/>
      <c r="Q5526" s="19"/>
      <c r="R5526" s="19"/>
    </row>
    <row r="5527" spans="13:18">
      <c r="M5527" s="19"/>
      <c r="N5527" s="19"/>
      <c r="O5527" s="19"/>
      <c r="P5527" s="19"/>
      <c r="Q5527" s="19"/>
      <c r="R5527" s="19"/>
    </row>
    <row r="5528" spans="13:18">
      <c r="M5528" s="19"/>
      <c r="N5528" s="19"/>
      <c r="O5528" s="19"/>
      <c r="P5528" s="19"/>
      <c r="Q5528" s="19"/>
      <c r="R5528" s="19"/>
    </row>
    <row r="5529" spans="13:18">
      <c r="M5529" s="19"/>
      <c r="N5529" s="19"/>
      <c r="O5529" s="19"/>
      <c r="P5529" s="19"/>
      <c r="Q5529" s="19"/>
      <c r="R5529" s="19"/>
    </row>
    <row r="5530" spans="13:18">
      <c r="M5530" s="19"/>
      <c r="N5530" s="19"/>
      <c r="O5530" s="19"/>
      <c r="P5530" s="19"/>
      <c r="Q5530" s="19"/>
      <c r="R5530" s="19"/>
    </row>
    <row r="5531" spans="13:18">
      <c r="M5531" s="19"/>
      <c r="N5531" s="19"/>
      <c r="O5531" s="19"/>
      <c r="P5531" s="19"/>
      <c r="Q5531" s="19"/>
      <c r="R5531" s="19"/>
    </row>
    <row r="5532" spans="13:18">
      <c r="M5532" s="19"/>
      <c r="N5532" s="19"/>
      <c r="O5532" s="19"/>
      <c r="P5532" s="19"/>
      <c r="Q5532" s="19"/>
      <c r="R5532" s="19"/>
    </row>
    <row r="5533" spans="13:18">
      <c r="M5533" s="19"/>
      <c r="N5533" s="19"/>
      <c r="O5533" s="19"/>
      <c r="P5533" s="19"/>
      <c r="Q5533" s="19"/>
      <c r="R5533" s="19"/>
    </row>
    <row r="5534" spans="13:18">
      <c r="M5534" s="19"/>
      <c r="N5534" s="19"/>
      <c r="O5534" s="19"/>
      <c r="P5534" s="19"/>
      <c r="Q5534" s="19"/>
      <c r="R5534" s="19"/>
    </row>
    <row r="5535" spans="13:18">
      <c r="M5535" s="19"/>
      <c r="N5535" s="19"/>
      <c r="O5535" s="19"/>
      <c r="P5535" s="19"/>
      <c r="Q5535" s="19"/>
      <c r="R5535" s="19"/>
    </row>
    <row r="5536" spans="13:18">
      <c r="M5536" s="19"/>
      <c r="N5536" s="19"/>
      <c r="O5536" s="19"/>
      <c r="P5536" s="19"/>
      <c r="Q5536" s="19"/>
      <c r="R5536" s="19"/>
    </row>
    <row r="5537" spans="13:18">
      <c r="M5537" s="19"/>
      <c r="N5537" s="19"/>
      <c r="O5537" s="19"/>
      <c r="P5537" s="19"/>
      <c r="Q5537" s="19"/>
      <c r="R5537" s="19"/>
    </row>
    <row r="5538" spans="13:18">
      <c r="M5538" s="19"/>
      <c r="N5538" s="19"/>
      <c r="O5538" s="19"/>
      <c r="P5538" s="19"/>
      <c r="Q5538" s="19"/>
      <c r="R5538" s="19"/>
    </row>
    <row r="5539" spans="13:18">
      <c r="M5539" s="19"/>
      <c r="N5539" s="19"/>
      <c r="O5539" s="19"/>
      <c r="P5539" s="19"/>
      <c r="Q5539" s="19"/>
      <c r="R5539" s="19"/>
    </row>
    <row r="5540" spans="13:18">
      <c r="M5540" s="19"/>
      <c r="N5540" s="19"/>
      <c r="O5540" s="19"/>
      <c r="P5540" s="19"/>
      <c r="Q5540" s="19"/>
      <c r="R5540" s="19"/>
    </row>
    <row r="5541" spans="13:18">
      <c r="M5541" s="19"/>
      <c r="N5541" s="19"/>
      <c r="O5541" s="19"/>
      <c r="P5541" s="19"/>
      <c r="Q5541" s="19"/>
      <c r="R5541" s="19"/>
    </row>
    <row r="5542" spans="13:18">
      <c r="M5542" s="19"/>
      <c r="N5542" s="19"/>
      <c r="O5542" s="19"/>
      <c r="P5542" s="19"/>
      <c r="Q5542" s="19"/>
      <c r="R5542" s="19"/>
    </row>
    <row r="5543" spans="13:18">
      <c r="M5543" s="19"/>
      <c r="N5543" s="19"/>
      <c r="O5543" s="19"/>
      <c r="P5543" s="19"/>
      <c r="Q5543" s="19"/>
      <c r="R5543" s="19"/>
    </row>
    <row r="5544" spans="13:18">
      <c r="M5544" s="19"/>
      <c r="N5544" s="19"/>
      <c r="O5544" s="19"/>
      <c r="P5544" s="19"/>
      <c r="Q5544" s="19"/>
      <c r="R5544" s="19"/>
    </row>
    <row r="5545" spans="13:18">
      <c r="M5545" s="19"/>
      <c r="N5545" s="19"/>
      <c r="O5545" s="19"/>
      <c r="P5545" s="19"/>
      <c r="Q5545" s="19"/>
      <c r="R5545" s="19"/>
    </row>
    <row r="5546" spans="13:18">
      <c r="M5546" s="19"/>
      <c r="N5546" s="19"/>
      <c r="O5546" s="19"/>
      <c r="P5546" s="19"/>
      <c r="Q5546" s="19"/>
      <c r="R5546" s="19"/>
    </row>
    <row r="5547" spans="13:18">
      <c r="M5547" s="19"/>
      <c r="N5547" s="19"/>
      <c r="O5547" s="19"/>
      <c r="P5547" s="19"/>
      <c r="Q5547" s="19"/>
      <c r="R5547" s="19"/>
    </row>
    <row r="5548" spans="13:18">
      <c r="M5548" s="19"/>
      <c r="N5548" s="19"/>
      <c r="O5548" s="19"/>
      <c r="P5548" s="19"/>
      <c r="Q5548" s="19"/>
      <c r="R5548" s="19"/>
    </row>
    <row r="5549" spans="13:18">
      <c r="M5549" s="19"/>
      <c r="N5549" s="19"/>
      <c r="O5549" s="19"/>
      <c r="P5549" s="19"/>
      <c r="Q5549" s="19"/>
      <c r="R5549" s="19"/>
    </row>
    <row r="5550" spans="13:18">
      <c r="M5550" s="19"/>
      <c r="N5550" s="19"/>
      <c r="O5550" s="19"/>
      <c r="P5550" s="19"/>
      <c r="Q5550" s="19"/>
      <c r="R5550" s="19"/>
    </row>
    <row r="5551" spans="13:18">
      <c r="M5551" s="19"/>
      <c r="N5551" s="19"/>
      <c r="O5551" s="19"/>
      <c r="P5551" s="19"/>
      <c r="Q5551" s="19"/>
      <c r="R5551" s="19"/>
    </row>
    <row r="5552" spans="13:18">
      <c r="M5552" s="19"/>
      <c r="N5552" s="19"/>
      <c r="O5552" s="19"/>
      <c r="P5552" s="19"/>
      <c r="Q5552" s="19"/>
      <c r="R5552" s="19"/>
    </row>
    <row r="5553" spans="13:18">
      <c r="M5553" s="19"/>
      <c r="N5553" s="19"/>
      <c r="O5553" s="19"/>
      <c r="P5553" s="19"/>
      <c r="Q5553" s="19"/>
      <c r="R5553" s="19"/>
    </row>
    <row r="5554" spans="13:18">
      <c r="M5554" s="19"/>
      <c r="N5554" s="19"/>
      <c r="O5554" s="19"/>
      <c r="P5554" s="19"/>
      <c r="Q5554" s="19"/>
      <c r="R5554" s="19"/>
    </row>
    <row r="5555" spans="13:18">
      <c r="M5555" s="19"/>
      <c r="N5555" s="19"/>
      <c r="O5555" s="19"/>
      <c r="P5555" s="19"/>
      <c r="Q5555" s="19"/>
      <c r="R5555" s="19"/>
    </row>
    <row r="5556" spans="13:18">
      <c r="M5556" s="19"/>
      <c r="N5556" s="19"/>
      <c r="O5556" s="19"/>
      <c r="P5556" s="19"/>
      <c r="Q5556" s="19"/>
      <c r="R5556" s="19"/>
    </row>
    <row r="5557" spans="13:18">
      <c r="M5557" s="19"/>
      <c r="N5557" s="19"/>
      <c r="O5557" s="19"/>
      <c r="P5557" s="19"/>
      <c r="Q5557" s="19"/>
      <c r="R5557" s="19"/>
    </row>
    <row r="5558" spans="13:18">
      <c r="M5558" s="19"/>
      <c r="N5558" s="19"/>
      <c r="O5558" s="19"/>
      <c r="P5558" s="19"/>
      <c r="Q5558" s="19"/>
      <c r="R5558" s="19"/>
    </row>
    <row r="5559" spans="13:18">
      <c r="M5559" s="19"/>
      <c r="N5559" s="19"/>
      <c r="O5559" s="19"/>
      <c r="P5559" s="19"/>
      <c r="Q5559" s="19"/>
      <c r="R5559" s="19"/>
    </row>
    <row r="5560" spans="13:18">
      <c r="M5560" s="19"/>
      <c r="N5560" s="19"/>
      <c r="O5560" s="19"/>
      <c r="P5560" s="19"/>
      <c r="Q5560" s="19"/>
      <c r="R5560" s="19"/>
    </row>
    <row r="5561" spans="13:18">
      <c r="M5561" s="19"/>
      <c r="N5561" s="19"/>
      <c r="O5561" s="19"/>
      <c r="P5561" s="19"/>
      <c r="Q5561" s="19"/>
      <c r="R5561" s="19"/>
    </row>
    <row r="5562" spans="13:18">
      <c r="M5562" s="19"/>
      <c r="N5562" s="19"/>
      <c r="O5562" s="19"/>
      <c r="P5562" s="19"/>
      <c r="Q5562" s="19"/>
      <c r="R5562" s="19"/>
    </row>
    <row r="5563" spans="13:18">
      <c r="M5563" s="19"/>
      <c r="N5563" s="19"/>
      <c r="O5563" s="19"/>
      <c r="P5563" s="19"/>
      <c r="Q5563" s="19"/>
      <c r="R5563" s="19"/>
    </row>
    <row r="5564" spans="13:18">
      <c r="M5564" s="19"/>
      <c r="N5564" s="19"/>
      <c r="O5564" s="19"/>
      <c r="P5564" s="19"/>
      <c r="Q5564" s="19"/>
      <c r="R5564" s="19"/>
    </row>
    <row r="5565" spans="13:18">
      <c r="M5565" s="19"/>
      <c r="N5565" s="19"/>
      <c r="O5565" s="19"/>
      <c r="P5565" s="19"/>
      <c r="Q5565" s="19"/>
      <c r="R5565" s="19"/>
    </row>
    <row r="5566" spans="13:18">
      <c r="M5566" s="19"/>
      <c r="N5566" s="19"/>
      <c r="O5566" s="19"/>
      <c r="P5566" s="19"/>
      <c r="Q5566" s="19"/>
      <c r="R5566" s="19"/>
    </row>
    <row r="5567" spans="13:18">
      <c r="M5567" s="19"/>
      <c r="N5567" s="19"/>
      <c r="O5567" s="19"/>
      <c r="P5567" s="19"/>
      <c r="Q5567" s="19"/>
      <c r="R5567" s="19"/>
    </row>
    <row r="5568" spans="13:18">
      <c r="M5568" s="19"/>
      <c r="N5568" s="19"/>
      <c r="O5568" s="19"/>
      <c r="P5568" s="19"/>
      <c r="Q5568" s="19"/>
      <c r="R5568" s="19"/>
    </row>
    <row r="5569" spans="13:18">
      <c r="M5569" s="19"/>
      <c r="N5569" s="19"/>
      <c r="O5569" s="19"/>
      <c r="P5569" s="19"/>
      <c r="Q5569" s="19"/>
      <c r="R5569" s="19"/>
    </row>
    <row r="5570" spans="13:18">
      <c r="M5570" s="19"/>
      <c r="N5570" s="19"/>
      <c r="O5570" s="19"/>
      <c r="P5570" s="19"/>
      <c r="Q5570" s="19"/>
      <c r="R5570" s="19"/>
    </row>
    <row r="5571" spans="13:18">
      <c r="M5571" s="19"/>
      <c r="N5571" s="19"/>
      <c r="O5571" s="19"/>
      <c r="P5571" s="19"/>
      <c r="Q5571" s="19"/>
      <c r="R5571" s="19"/>
    </row>
    <row r="5572" spans="13:18">
      <c r="M5572" s="19"/>
      <c r="N5572" s="19"/>
      <c r="O5572" s="19"/>
      <c r="P5572" s="19"/>
      <c r="Q5572" s="19"/>
      <c r="R5572" s="19"/>
    </row>
    <row r="5573" spans="13:18">
      <c r="M5573" s="19"/>
      <c r="N5573" s="19"/>
      <c r="O5573" s="19"/>
      <c r="P5573" s="19"/>
      <c r="Q5573" s="19"/>
      <c r="R5573" s="19"/>
    </row>
    <row r="5574" spans="13:18">
      <c r="M5574" s="19"/>
      <c r="N5574" s="19"/>
      <c r="O5574" s="19"/>
      <c r="P5574" s="19"/>
      <c r="Q5574" s="19"/>
      <c r="R5574" s="19"/>
    </row>
    <row r="5575" spans="13:18">
      <c r="M5575" s="19"/>
      <c r="N5575" s="19"/>
      <c r="O5575" s="19"/>
      <c r="P5575" s="19"/>
      <c r="Q5575" s="19"/>
      <c r="R5575" s="19"/>
    </row>
    <row r="5576" spans="13:18">
      <c r="M5576" s="19"/>
      <c r="N5576" s="19"/>
      <c r="O5576" s="19"/>
      <c r="P5576" s="19"/>
      <c r="Q5576" s="19"/>
      <c r="R5576" s="19"/>
    </row>
    <row r="5577" spans="13:18">
      <c r="M5577" s="19"/>
      <c r="N5577" s="19"/>
      <c r="O5577" s="19"/>
      <c r="P5577" s="19"/>
      <c r="Q5577" s="19"/>
      <c r="R5577" s="19"/>
    </row>
    <row r="5578" spans="13:18">
      <c r="M5578" s="19"/>
      <c r="N5578" s="19"/>
      <c r="O5578" s="19"/>
      <c r="P5578" s="19"/>
      <c r="Q5578" s="19"/>
      <c r="R5578" s="19"/>
    </row>
    <row r="5579" spans="13:18">
      <c r="M5579" s="19"/>
      <c r="N5579" s="19"/>
      <c r="O5579" s="19"/>
      <c r="P5579" s="19"/>
      <c r="Q5579" s="19"/>
      <c r="R5579" s="19"/>
    </row>
    <row r="5580" spans="13:18">
      <c r="M5580" s="19"/>
      <c r="N5580" s="19"/>
      <c r="O5580" s="19"/>
      <c r="P5580" s="19"/>
      <c r="Q5580" s="19"/>
      <c r="R5580" s="19"/>
    </row>
    <row r="5581" spans="13:18">
      <c r="M5581" s="19"/>
      <c r="N5581" s="19"/>
      <c r="O5581" s="19"/>
      <c r="P5581" s="19"/>
      <c r="Q5581" s="19"/>
      <c r="R5581" s="19"/>
    </row>
    <row r="5582" spans="13:18">
      <c r="M5582" s="19"/>
      <c r="N5582" s="19"/>
      <c r="O5582" s="19"/>
      <c r="P5582" s="19"/>
      <c r="Q5582" s="19"/>
      <c r="R5582" s="19"/>
    </row>
    <row r="5583" spans="13:18">
      <c r="M5583" s="19"/>
      <c r="N5583" s="19"/>
      <c r="O5583" s="19"/>
      <c r="P5583" s="19"/>
      <c r="Q5583" s="19"/>
      <c r="R5583" s="19"/>
    </row>
    <row r="5584" spans="13:18">
      <c r="M5584" s="19"/>
      <c r="N5584" s="19"/>
      <c r="O5584" s="19"/>
      <c r="P5584" s="19"/>
      <c r="Q5584" s="19"/>
      <c r="R5584" s="19"/>
    </row>
    <row r="5585" spans="13:18">
      <c r="M5585" s="19"/>
      <c r="N5585" s="19"/>
      <c r="O5585" s="19"/>
      <c r="P5585" s="19"/>
      <c r="Q5585" s="19"/>
      <c r="R5585" s="19"/>
    </row>
    <row r="5586" spans="13:18">
      <c r="M5586" s="19"/>
      <c r="N5586" s="19"/>
      <c r="O5586" s="19"/>
      <c r="P5586" s="19"/>
      <c r="Q5586" s="19"/>
      <c r="R5586" s="19"/>
    </row>
    <row r="5587" spans="13:18">
      <c r="M5587" s="19"/>
      <c r="N5587" s="19"/>
      <c r="O5587" s="19"/>
      <c r="P5587" s="19"/>
      <c r="Q5587" s="19"/>
      <c r="R5587" s="19"/>
    </row>
    <row r="5588" spans="13:18">
      <c r="M5588" s="19"/>
      <c r="N5588" s="19"/>
      <c r="O5588" s="19"/>
      <c r="P5588" s="19"/>
      <c r="Q5588" s="19"/>
      <c r="R5588" s="19"/>
    </row>
    <row r="5589" spans="13:18">
      <c r="M5589" s="19"/>
      <c r="N5589" s="19"/>
      <c r="O5589" s="19"/>
      <c r="P5589" s="19"/>
      <c r="Q5589" s="19"/>
      <c r="R5589" s="19"/>
    </row>
    <row r="5590" spans="13:18">
      <c r="M5590" s="19"/>
      <c r="N5590" s="19"/>
      <c r="O5590" s="19"/>
      <c r="P5590" s="19"/>
      <c r="Q5590" s="19"/>
      <c r="R5590" s="19"/>
    </row>
    <row r="5591" spans="13:18">
      <c r="M5591" s="19"/>
      <c r="N5591" s="19"/>
      <c r="O5591" s="19"/>
      <c r="P5591" s="19"/>
      <c r="Q5591" s="19"/>
      <c r="R5591" s="19"/>
    </row>
    <row r="5592" spans="13:18">
      <c r="M5592" s="19"/>
      <c r="N5592" s="19"/>
      <c r="O5592" s="19"/>
      <c r="P5592" s="19"/>
      <c r="Q5592" s="19"/>
      <c r="R5592" s="19"/>
    </row>
    <row r="5593" spans="13:18">
      <c r="M5593" s="19"/>
      <c r="N5593" s="19"/>
      <c r="O5593" s="19"/>
      <c r="P5593" s="19"/>
      <c r="Q5593" s="19"/>
      <c r="R5593" s="19"/>
    </row>
    <row r="5594" spans="13:18">
      <c r="M5594" s="19"/>
      <c r="N5594" s="19"/>
      <c r="O5594" s="19"/>
      <c r="P5594" s="19"/>
      <c r="Q5594" s="19"/>
      <c r="R5594" s="19"/>
    </row>
    <row r="5595" spans="13:18">
      <c r="M5595" s="19"/>
      <c r="N5595" s="19"/>
      <c r="O5595" s="19"/>
      <c r="P5595" s="19"/>
      <c r="Q5595" s="19"/>
      <c r="R5595" s="19"/>
    </row>
    <row r="5596" spans="13:18">
      <c r="M5596" s="19"/>
      <c r="N5596" s="19"/>
      <c r="O5596" s="19"/>
      <c r="P5596" s="19"/>
      <c r="Q5596" s="19"/>
      <c r="R5596" s="19"/>
    </row>
    <row r="5597" spans="13:18">
      <c r="M5597" s="19"/>
      <c r="N5597" s="19"/>
      <c r="O5597" s="19"/>
      <c r="P5597" s="19"/>
      <c r="Q5597" s="19"/>
      <c r="R5597" s="19"/>
    </row>
    <row r="5598" spans="13:18">
      <c r="M5598" s="19"/>
      <c r="N5598" s="19"/>
      <c r="O5598" s="19"/>
      <c r="P5598" s="19"/>
      <c r="Q5598" s="19"/>
      <c r="R5598" s="19"/>
    </row>
    <row r="5599" spans="13:18">
      <c r="M5599" s="19"/>
      <c r="N5599" s="19"/>
      <c r="O5599" s="19"/>
      <c r="P5599" s="19"/>
      <c r="Q5599" s="19"/>
      <c r="R5599" s="19"/>
    </row>
    <row r="5600" spans="13:18">
      <c r="M5600" s="19"/>
      <c r="N5600" s="19"/>
      <c r="O5600" s="19"/>
      <c r="P5600" s="19"/>
      <c r="Q5600" s="19"/>
      <c r="R5600" s="19"/>
    </row>
    <row r="5601" spans="13:18">
      <c r="M5601" s="19"/>
      <c r="N5601" s="19"/>
      <c r="O5601" s="19"/>
      <c r="P5601" s="19"/>
      <c r="Q5601" s="19"/>
      <c r="R5601" s="19"/>
    </row>
    <row r="5602" spans="13:18">
      <c r="M5602" s="19"/>
      <c r="N5602" s="19"/>
      <c r="O5602" s="19"/>
      <c r="P5602" s="19"/>
      <c r="Q5602" s="19"/>
      <c r="R5602" s="19"/>
    </row>
    <row r="5603" spans="13:18">
      <c r="M5603" s="19"/>
      <c r="N5603" s="19"/>
      <c r="O5603" s="19"/>
      <c r="P5603" s="19"/>
      <c r="Q5603" s="19"/>
      <c r="R5603" s="19"/>
    </row>
    <row r="5604" spans="13:18">
      <c r="M5604" s="19"/>
      <c r="N5604" s="19"/>
      <c r="O5604" s="19"/>
      <c r="P5604" s="19"/>
      <c r="Q5604" s="19"/>
      <c r="R5604" s="19"/>
    </row>
    <row r="5605" spans="13:18">
      <c r="M5605" s="19"/>
      <c r="N5605" s="19"/>
      <c r="O5605" s="19"/>
      <c r="P5605" s="19"/>
      <c r="Q5605" s="19"/>
      <c r="R5605" s="19"/>
    </row>
    <row r="5606" spans="13:18">
      <c r="M5606" s="19"/>
      <c r="N5606" s="19"/>
      <c r="O5606" s="19"/>
      <c r="P5606" s="19"/>
      <c r="Q5606" s="19"/>
      <c r="R5606" s="19"/>
    </row>
    <row r="5607" spans="13:18">
      <c r="M5607" s="19"/>
      <c r="N5607" s="19"/>
      <c r="O5607" s="19"/>
      <c r="P5607" s="19"/>
      <c r="Q5607" s="19"/>
      <c r="R5607" s="19"/>
    </row>
    <row r="5608" spans="13:18">
      <c r="M5608" s="19"/>
      <c r="N5608" s="19"/>
      <c r="O5608" s="19"/>
      <c r="P5608" s="19"/>
      <c r="Q5608" s="19"/>
      <c r="R5608" s="19"/>
    </row>
    <row r="5609" spans="13:18">
      <c r="M5609" s="19"/>
      <c r="N5609" s="19"/>
      <c r="O5609" s="19"/>
      <c r="P5609" s="19"/>
      <c r="Q5609" s="19"/>
      <c r="R5609" s="19"/>
    </row>
    <row r="5610" spans="13:18">
      <c r="M5610" s="19"/>
      <c r="N5610" s="19"/>
      <c r="O5610" s="19"/>
      <c r="P5610" s="19"/>
      <c r="Q5610" s="19"/>
      <c r="R5610" s="19"/>
    </row>
    <row r="5611" spans="13:18">
      <c r="M5611" s="19"/>
      <c r="N5611" s="19"/>
      <c r="O5611" s="19"/>
      <c r="P5611" s="19"/>
      <c r="Q5611" s="19"/>
      <c r="R5611" s="19"/>
    </row>
    <row r="5612" spans="13:18">
      <c r="M5612" s="19"/>
      <c r="N5612" s="19"/>
      <c r="O5612" s="19"/>
      <c r="P5612" s="19"/>
      <c r="Q5612" s="19"/>
      <c r="R5612" s="19"/>
    </row>
    <row r="5613" spans="13:18">
      <c r="M5613" s="19"/>
      <c r="N5613" s="19"/>
      <c r="O5613" s="19"/>
      <c r="P5613" s="19"/>
      <c r="Q5613" s="19"/>
      <c r="R5613" s="19"/>
    </row>
    <row r="5614" spans="13:18">
      <c r="M5614" s="19"/>
      <c r="N5614" s="19"/>
      <c r="O5614" s="19"/>
      <c r="P5614" s="19"/>
      <c r="Q5614" s="19"/>
      <c r="R5614" s="19"/>
    </row>
    <row r="5615" spans="13:18">
      <c r="M5615" s="19"/>
      <c r="N5615" s="19"/>
      <c r="O5615" s="19"/>
      <c r="P5615" s="19"/>
      <c r="Q5615" s="19"/>
      <c r="R5615" s="19"/>
    </row>
    <row r="5616" spans="13:18">
      <c r="M5616" s="19"/>
      <c r="N5616" s="19"/>
      <c r="O5616" s="19"/>
      <c r="P5616" s="19"/>
      <c r="Q5616" s="19"/>
      <c r="R5616" s="19"/>
    </row>
    <row r="5617" spans="13:18">
      <c r="M5617" s="19"/>
      <c r="N5617" s="19"/>
      <c r="O5617" s="19"/>
      <c r="P5617" s="19"/>
      <c r="Q5617" s="19"/>
      <c r="R5617" s="19"/>
    </row>
    <row r="5618" spans="13:18">
      <c r="M5618" s="19"/>
      <c r="N5618" s="19"/>
      <c r="O5618" s="19"/>
      <c r="P5618" s="19"/>
      <c r="Q5618" s="19"/>
      <c r="R5618" s="19"/>
    </row>
    <row r="5619" spans="13:18">
      <c r="M5619" s="19"/>
      <c r="N5619" s="19"/>
      <c r="O5619" s="19"/>
      <c r="P5619" s="19"/>
      <c r="Q5619" s="19"/>
      <c r="R5619" s="19"/>
    </row>
    <row r="5620" spans="13:18">
      <c r="M5620" s="19"/>
      <c r="N5620" s="19"/>
      <c r="O5620" s="19"/>
      <c r="P5620" s="19"/>
      <c r="Q5620" s="19"/>
      <c r="R5620" s="19"/>
    </row>
    <row r="5621" spans="13:18">
      <c r="M5621" s="19"/>
      <c r="N5621" s="19"/>
      <c r="O5621" s="19"/>
      <c r="P5621" s="19"/>
      <c r="Q5621" s="19"/>
      <c r="R5621" s="19"/>
    </row>
    <row r="5622" spans="13:18">
      <c r="M5622" s="19"/>
      <c r="N5622" s="19"/>
      <c r="O5622" s="19"/>
      <c r="P5622" s="19"/>
      <c r="Q5622" s="19"/>
      <c r="R5622" s="19"/>
    </row>
    <row r="5623" spans="13:18">
      <c r="M5623" s="19"/>
      <c r="N5623" s="19"/>
      <c r="O5623" s="19"/>
      <c r="P5623" s="19"/>
      <c r="Q5623" s="19"/>
      <c r="R5623" s="19"/>
    </row>
    <row r="5624" spans="13:18">
      <c r="M5624" s="19"/>
      <c r="N5624" s="19"/>
      <c r="O5624" s="19"/>
      <c r="P5624" s="19"/>
      <c r="Q5624" s="19"/>
      <c r="R5624" s="19"/>
    </row>
    <row r="5625" spans="13:18">
      <c r="M5625" s="19"/>
      <c r="N5625" s="19"/>
      <c r="O5625" s="19"/>
      <c r="P5625" s="19"/>
      <c r="Q5625" s="19"/>
      <c r="R5625" s="19"/>
    </row>
    <row r="5626" spans="13:18">
      <c r="M5626" s="19"/>
      <c r="N5626" s="19"/>
      <c r="O5626" s="19"/>
      <c r="P5626" s="19"/>
      <c r="Q5626" s="19"/>
      <c r="R5626" s="19"/>
    </row>
    <row r="5627" spans="13:18">
      <c r="M5627" s="19"/>
      <c r="N5627" s="19"/>
      <c r="O5627" s="19"/>
      <c r="P5627" s="19"/>
      <c r="Q5627" s="19"/>
      <c r="R5627" s="19"/>
    </row>
    <row r="5628" spans="13:18">
      <c r="M5628" s="19"/>
      <c r="N5628" s="19"/>
      <c r="O5628" s="19"/>
      <c r="P5628" s="19"/>
      <c r="Q5628" s="19"/>
      <c r="R5628" s="19"/>
    </row>
    <row r="5629" spans="13:18">
      <c r="M5629" s="19"/>
      <c r="N5629" s="19"/>
      <c r="O5629" s="19"/>
      <c r="P5629" s="19"/>
      <c r="Q5629" s="19"/>
      <c r="R5629" s="19"/>
    </row>
    <row r="5630" spans="13:18">
      <c r="M5630" s="19"/>
      <c r="N5630" s="19"/>
      <c r="O5630" s="19"/>
      <c r="P5630" s="19"/>
      <c r="Q5630" s="19"/>
      <c r="R5630" s="19"/>
    </row>
    <row r="5631" spans="13:18">
      <c r="M5631" s="19"/>
      <c r="N5631" s="19"/>
      <c r="O5631" s="19"/>
      <c r="P5631" s="19"/>
      <c r="Q5631" s="19"/>
      <c r="R5631" s="19"/>
    </row>
    <row r="5632" spans="13:18">
      <c r="M5632" s="19"/>
      <c r="N5632" s="19"/>
      <c r="O5632" s="19"/>
      <c r="P5632" s="19"/>
      <c r="Q5632" s="19"/>
      <c r="R5632" s="19"/>
    </row>
    <row r="5633" spans="13:18">
      <c r="M5633" s="19"/>
      <c r="N5633" s="19"/>
      <c r="O5633" s="19"/>
      <c r="P5633" s="19"/>
      <c r="Q5633" s="19"/>
      <c r="R5633" s="19"/>
    </row>
    <row r="5634" spans="13:18">
      <c r="M5634" s="19"/>
      <c r="N5634" s="19"/>
      <c r="O5634" s="19"/>
      <c r="P5634" s="19"/>
      <c r="Q5634" s="19"/>
      <c r="R5634" s="19"/>
    </row>
    <row r="5635" spans="13:18">
      <c r="M5635" s="19"/>
      <c r="N5635" s="19"/>
      <c r="O5635" s="19"/>
      <c r="P5635" s="19"/>
      <c r="Q5635" s="19"/>
      <c r="R5635" s="19"/>
    </row>
    <row r="5636" spans="13:18">
      <c r="M5636" s="19"/>
      <c r="N5636" s="19"/>
      <c r="O5636" s="19"/>
      <c r="P5636" s="19"/>
      <c r="Q5636" s="19"/>
      <c r="R5636" s="19"/>
    </row>
    <row r="5637" spans="13:18">
      <c r="M5637" s="19"/>
      <c r="N5637" s="19"/>
      <c r="O5637" s="19"/>
      <c r="P5637" s="19"/>
      <c r="Q5637" s="19"/>
      <c r="R5637" s="19"/>
    </row>
    <row r="5638" spans="13:18">
      <c r="M5638" s="19"/>
      <c r="N5638" s="19"/>
      <c r="O5638" s="19"/>
      <c r="P5638" s="19"/>
      <c r="Q5638" s="19"/>
      <c r="R5638" s="19"/>
    </row>
    <row r="5639" spans="13:18">
      <c r="M5639" s="19"/>
      <c r="N5639" s="19"/>
      <c r="O5639" s="19"/>
      <c r="P5639" s="19"/>
      <c r="Q5639" s="19"/>
      <c r="R5639" s="19"/>
    </row>
    <row r="5640" spans="13:18">
      <c r="M5640" s="19"/>
      <c r="N5640" s="19"/>
      <c r="O5640" s="19"/>
      <c r="P5640" s="19"/>
      <c r="Q5640" s="19"/>
      <c r="R5640" s="19"/>
    </row>
    <row r="5641" spans="13:18">
      <c r="M5641" s="19"/>
      <c r="N5641" s="19"/>
      <c r="O5641" s="19"/>
      <c r="P5641" s="19"/>
      <c r="Q5641" s="19"/>
      <c r="R5641" s="19"/>
    </row>
    <row r="5642" spans="13:18">
      <c r="M5642" s="19"/>
      <c r="N5642" s="19"/>
      <c r="O5642" s="19"/>
      <c r="P5642" s="19"/>
      <c r="Q5642" s="19"/>
      <c r="R5642" s="19"/>
    </row>
    <row r="5643" spans="13:18">
      <c r="M5643" s="19"/>
      <c r="N5643" s="19"/>
      <c r="O5643" s="19"/>
      <c r="P5643" s="19"/>
      <c r="Q5643" s="19"/>
      <c r="R5643" s="19"/>
    </row>
    <row r="5644" spans="13:18">
      <c r="M5644" s="19"/>
      <c r="N5644" s="19"/>
      <c r="O5644" s="19"/>
      <c r="P5644" s="19"/>
      <c r="Q5644" s="19"/>
      <c r="R5644" s="19"/>
    </row>
    <row r="5645" spans="13:18">
      <c r="M5645" s="19"/>
      <c r="N5645" s="19"/>
      <c r="O5645" s="19"/>
      <c r="P5645" s="19"/>
      <c r="Q5645" s="19"/>
      <c r="R5645" s="19"/>
    </row>
    <row r="5646" spans="13:18">
      <c r="M5646" s="19"/>
      <c r="N5646" s="19"/>
      <c r="O5646" s="19"/>
      <c r="P5646" s="19"/>
      <c r="Q5646" s="19"/>
      <c r="R5646" s="19"/>
    </row>
    <row r="5647" spans="13:18">
      <c r="M5647" s="19"/>
      <c r="N5647" s="19"/>
      <c r="O5647" s="19"/>
      <c r="P5647" s="19"/>
      <c r="Q5647" s="19"/>
      <c r="R5647" s="19"/>
    </row>
    <row r="5648" spans="13:18">
      <c r="M5648" s="19"/>
      <c r="N5648" s="19"/>
      <c r="O5648" s="19"/>
      <c r="P5648" s="19"/>
      <c r="Q5648" s="19"/>
      <c r="R5648" s="19"/>
    </row>
    <row r="5649" spans="13:18">
      <c r="M5649" s="19"/>
      <c r="N5649" s="19"/>
      <c r="O5649" s="19"/>
      <c r="P5649" s="19"/>
      <c r="Q5649" s="19"/>
      <c r="R5649" s="19"/>
    </row>
    <row r="5650" spans="13:18">
      <c r="M5650" s="19"/>
      <c r="N5650" s="19"/>
      <c r="O5650" s="19"/>
      <c r="P5650" s="19"/>
      <c r="Q5650" s="19"/>
      <c r="R5650" s="19"/>
    </row>
    <row r="5651" spans="13:18">
      <c r="M5651" s="19"/>
      <c r="N5651" s="19"/>
      <c r="O5651" s="19"/>
      <c r="P5651" s="19"/>
      <c r="Q5651" s="19"/>
      <c r="R5651" s="19"/>
    </row>
    <row r="5652" spans="13:18">
      <c r="M5652" s="19"/>
      <c r="N5652" s="19"/>
      <c r="O5652" s="19"/>
      <c r="P5652" s="19"/>
      <c r="Q5652" s="19"/>
      <c r="R5652" s="19"/>
    </row>
    <row r="5653" spans="13:18">
      <c r="M5653" s="19"/>
      <c r="N5653" s="19"/>
      <c r="O5653" s="19"/>
      <c r="P5653" s="19"/>
      <c r="Q5653" s="19"/>
      <c r="R5653" s="19"/>
    </row>
    <row r="5654" spans="13:18">
      <c r="M5654" s="19"/>
      <c r="N5654" s="19"/>
      <c r="O5654" s="19"/>
      <c r="P5654" s="19"/>
      <c r="Q5654" s="19"/>
      <c r="R5654" s="19"/>
    </row>
    <row r="5655" spans="13:18">
      <c r="M5655" s="19"/>
      <c r="N5655" s="19"/>
      <c r="O5655" s="19"/>
      <c r="P5655" s="19"/>
      <c r="Q5655" s="19"/>
      <c r="R5655" s="19"/>
    </row>
    <row r="5656" spans="13:18">
      <c r="M5656" s="19"/>
      <c r="N5656" s="19"/>
      <c r="O5656" s="19"/>
      <c r="P5656" s="19"/>
      <c r="Q5656" s="19"/>
      <c r="R5656" s="19"/>
    </row>
    <row r="5657" spans="13:18">
      <c r="M5657" s="19"/>
      <c r="N5657" s="19"/>
      <c r="O5657" s="19"/>
      <c r="P5657" s="19"/>
      <c r="Q5657" s="19"/>
      <c r="R5657" s="19"/>
    </row>
    <row r="5658" spans="13:18">
      <c r="M5658" s="19"/>
      <c r="N5658" s="19"/>
      <c r="O5658" s="19"/>
      <c r="P5658" s="19"/>
      <c r="Q5658" s="19"/>
      <c r="R5658" s="19"/>
    </row>
    <row r="5659" spans="13:18">
      <c r="M5659" s="19"/>
      <c r="N5659" s="19"/>
      <c r="O5659" s="19"/>
      <c r="P5659" s="19"/>
      <c r="Q5659" s="19"/>
      <c r="R5659" s="19"/>
    </row>
    <row r="5660" spans="13:18">
      <c r="M5660" s="19"/>
      <c r="N5660" s="19"/>
      <c r="O5660" s="19"/>
      <c r="P5660" s="19"/>
      <c r="Q5660" s="19"/>
      <c r="R5660" s="19"/>
    </row>
    <row r="5661" spans="13:18">
      <c r="M5661" s="19"/>
      <c r="N5661" s="19"/>
      <c r="O5661" s="19"/>
      <c r="P5661" s="19"/>
      <c r="Q5661" s="19"/>
      <c r="R5661" s="19"/>
    </row>
    <row r="5662" spans="13:18">
      <c r="M5662" s="19"/>
      <c r="N5662" s="19"/>
      <c r="O5662" s="19"/>
      <c r="P5662" s="19"/>
      <c r="Q5662" s="19"/>
      <c r="R5662" s="19"/>
    </row>
    <row r="5663" spans="13:18">
      <c r="M5663" s="19"/>
      <c r="N5663" s="19"/>
      <c r="O5663" s="19"/>
      <c r="P5663" s="19"/>
      <c r="Q5663" s="19"/>
      <c r="R5663" s="19"/>
    </row>
    <row r="5664" spans="13:18">
      <c r="M5664" s="19"/>
      <c r="N5664" s="19"/>
      <c r="O5664" s="19"/>
      <c r="P5664" s="19"/>
      <c r="Q5664" s="19"/>
      <c r="R5664" s="19"/>
    </row>
    <row r="5665" spans="13:18">
      <c r="M5665" s="19"/>
      <c r="N5665" s="19"/>
      <c r="O5665" s="19"/>
      <c r="P5665" s="19"/>
      <c r="Q5665" s="19"/>
      <c r="R5665" s="19"/>
    </row>
    <row r="5666" spans="13:18">
      <c r="M5666" s="19"/>
      <c r="N5666" s="19"/>
      <c r="O5666" s="19"/>
      <c r="P5666" s="19"/>
      <c r="Q5666" s="19"/>
      <c r="R5666" s="19"/>
    </row>
    <row r="5667" spans="13:18">
      <c r="M5667" s="19"/>
      <c r="N5667" s="19"/>
      <c r="O5667" s="19"/>
      <c r="P5667" s="19"/>
      <c r="Q5667" s="19"/>
      <c r="R5667" s="19"/>
    </row>
    <row r="5668" spans="13:18">
      <c r="M5668" s="19"/>
      <c r="N5668" s="19"/>
      <c r="O5668" s="19"/>
      <c r="P5668" s="19"/>
      <c r="Q5668" s="19"/>
      <c r="R5668" s="19"/>
    </row>
    <row r="5669" spans="13:18">
      <c r="M5669" s="19"/>
      <c r="N5669" s="19"/>
      <c r="O5669" s="19"/>
      <c r="P5669" s="19"/>
      <c r="Q5669" s="19"/>
      <c r="R5669" s="19"/>
    </row>
    <row r="5670" spans="13:18">
      <c r="M5670" s="19"/>
      <c r="N5670" s="19"/>
      <c r="O5670" s="19"/>
      <c r="P5670" s="19"/>
      <c r="Q5670" s="19"/>
      <c r="R5670" s="19"/>
    </row>
    <row r="5671" spans="13:18">
      <c r="M5671" s="19"/>
      <c r="N5671" s="19"/>
      <c r="O5671" s="19"/>
      <c r="P5671" s="19"/>
      <c r="Q5671" s="19"/>
      <c r="R5671" s="19"/>
    </row>
    <row r="5672" spans="13:18">
      <c r="M5672" s="19"/>
      <c r="N5672" s="19"/>
      <c r="O5672" s="19"/>
      <c r="P5672" s="19"/>
      <c r="Q5672" s="19"/>
      <c r="R5672" s="19"/>
    </row>
    <row r="5673" spans="13:18">
      <c r="M5673" s="19"/>
      <c r="N5673" s="19"/>
      <c r="O5673" s="19"/>
      <c r="P5673" s="19"/>
      <c r="Q5673" s="19"/>
      <c r="R5673" s="19"/>
    </row>
    <row r="5674" spans="13:18">
      <c r="M5674" s="19"/>
      <c r="N5674" s="19"/>
      <c r="O5674" s="19"/>
      <c r="P5674" s="19"/>
      <c r="Q5674" s="19"/>
      <c r="R5674" s="19"/>
    </row>
    <row r="5675" spans="13:18">
      <c r="M5675" s="19"/>
      <c r="N5675" s="19"/>
      <c r="O5675" s="19"/>
      <c r="P5675" s="19"/>
      <c r="Q5675" s="19"/>
      <c r="R5675" s="19"/>
    </row>
    <row r="5676" spans="13:18">
      <c r="M5676" s="19"/>
      <c r="N5676" s="19"/>
      <c r="O5676" s="19"/>
      <c r="P5676" s="19"/>
      <c r="Q5676" s="19"/>
      <c r="R5676" s="19"/>
    </row>
    <row r="5677" spans="13:18">
      <c r="M5677" s="19"/>
      <c r="N5677" s="19"/>
      <c r="O5677" s="19"/>
      <c r="P5677" s="19"/>
      <c r="Q5677" s="19"/>
      <c r="R5677" s="19"/>
    </row>
    <row r="5678" spans="13:18">
      <c r="M5678" s="19"/>
      <c r="N5678" s="19"/>
      <c r="O5678" s="19"/>
      <c r="P5678" s="19"/>
      <c r="Q5678" s="19"/>
      <c r="R5678" s="19"/>
    </row>
    <row r="5679" spans="13:18">
      <c r="M5679" s="19"/>
      <c r="N5679" s="19"/>
      <c r="O5679" s="19"/>
      <c r="P5679" s="19"/>
      <c r="Q5679" s="19"/>
      <c r="R5679" s="19"/>
    </row>
    <row r="5680" spans="13:18">
      <c r="M5680" s="19"/>
      <c r="N5680" s="19"/>
      <c r="O5680" s="19"/>
      <c r="P5680" s="19"/>
      <c r="Q5680" s="19"/>
      <c r="R5680" s="19"/>
    </row>
    <row r="5681" spans="13:18">
      <c r="M5681" s="19"/>
      <c r="N5681" s="19"/>
      <c r="O5681" s="19"/>
      <c r="P5681" s="19"/>
      <c r="Q5681" s="19"/>
      <c r="R5681" s="19"/>
    </row>
    <row r="5682" spans="13:18">
      <c r="M5682" s="19"/>
      <c r="N5682" s="19"/>
      <c r="O5682" s="19"/>
      <c r="P5682" s="19"/>
      <c r="Q5682" s="19"/>
      <c r="R5682" s="19"/>
    </row>
    <row r="5683" spans="13:18">
      <c r="M5683" s="19"/>
      <c r="N5683" s="19"/>
      <c r="O5683" s="19"/>
      <c r="P5683" s="19"/>
      <c r="Q5683" s="19"/>
      <c r="R5683" s="19"/>
    </row>
    <row r="5684" spans="13:18">
      <c r="M5684" s="19"/>
      <c r="N5684" s="19"/>
      <c r="O5684" s="19"/>
      <c r="P5684" s="19"/>
      <c r="Q5684" s="19"/>
      <c r="R5684" s="19"/>
    </row>
    <row r="5685" spans="13:18">
      <c r="M5685" s="19"/>
      <c r="N5685" s="19"/>
      <c r="O5685" s="19"/>
      <c r="P5685" s="19"/>
      <c r="Q5685" s="19"/>
      <c r="R5685" s="19"/>
    </row>
    <row r="5686" spans="13:18">
      <c r="M5686" s="19"/>
      <c r="N5686" s="19"/>
      <c r="O5686" s="19"/>
      <c r="P5686" s="19"/>
      <c r="Q5686" s="19"/>
      <c r="R5686" s="19"/>
    </row>
    <row r="5687" spans="13:18">
      <c r="M5687" s="19"/>
      <c r="N5687" s="19"/>
      <c r="O5687" s="19"/>
      <c r="P5687" s="19"/>
      <c r="Q5687" s="19"/>
      <c r="R5687" s="19"/>
    </row>
    <row r="5688" spans="13:18">
      <c r="M5688" s="19"/>
      <c r="N5688" s="19"/>
      <c r="O5688" s="19"/>
      <c r="P5688" s="19"/>
      <c r="Q5688" s="19"/>
      <c r="R5688" s="19"/>
    </row>
    <row r="5689" spans="13:18">
      <c r="M5689" s="19"/>
      <c r="N5689" s="19"/>
      <c r="O5689" s="19"/>
      <c r="P5689" s="19"/>
      <c r="Q5689" s="19"/>
      <c r="R5689" s="19"/>
    </row>
    <row r="5690" spans="13:18">
      <c r="M5690" s="19"/>
      <c r="N5690" s="19"/>
      <c r="O5690" s="19"/>
      <c r="P5690" s="19"/>
      <c r="Q5690" s="19"/>
      <c r="R5690" s="19"/>
    </row>
    <row r="5691" spans="13:18">
      <c r="M5691" s="19"/>
      <c r="N5691" s="19"/>
      <c r="O5691" s="19"/>
      <c r="P5691" s="19"/>
      <c r="Q5691" s="19"/>
      <c r="R5691" s="19"/>
    </row>
    <row r="5692" spans="13:18">
      <c r="M5692" s="19"/>
      <c r="N5692" s="19"/>
      <c r="O5692" s="19"/>
      <c r="P5692" s="19"/>
      <c r="Q5692" s="19"/>
      <c r="R5692" s="19"/>
    </row>
    <row r="5693" spans="13:18">
      <c r="M5693" s="19"/>
      <c r="N5693" s="19"/>
      <c r="O5693" s="19"/>
      <c r="P5693" s="19"/>
      <c r="Q5693" s="19"/>
      <c r="R5693" s="19"/>
    </row>
    <row r="5694" spans="13:18">
      <c r="M5694" s="19"/>
      <c r="N5694" s="19"/>
      <c r="O5694" s="19"/>
      <c r="P5694" s="19"/>
      <c r="Q5694" s="19"/>
      <c r="R5694" s="19"/>
    </row>
    <row r="5695" spans="13:18">
      <c r="M5695" s="19"/>
      <c r="N5695" s="19"/>
      <c r="O5695" s="19"/>
      <c r="P5695" s="19"/>
      <c r="Q5695" s="19"/>
      <c r="R5695" s="19"/>
    </row>
    <row r="5696" spans="13:18">
      <c r="M5696" s="19"/>
      <c r="N5696" s="19"/>
      <c r="O5696" s="19"/>
      <c r="P5696" s="19"/>
      <c r="Q5696" s="19"/>
      <c r="R5696" s="19"/>
    </row>
    <row r="5697" spans="13:18">
      <c r="M5697" s="19"/>
      <c r="N5697" s="19"/>
      <c r="O5697" s="19"/>
      <c r="P5697" s="19"/>
      <c r="Q5697" s="19"/>
      <c r="R5697" s="19"/>
    </row>
    <row r="5698" spans="13:18">
      <c r="M5698" s="19"/>
      <c r="N5698" s="19"/>
      <c r="O5698" s="19"/>
      <c r="P5698" s="19"/>
      <c r="Q5698" s="19"/>
      <c r="R5698" s="19"/>
    </row>
    <row r="5699" spans="13:18">
      <c r="M5699" s="19"/>
      <c r="N5699" s="19"/>
      <c r="O5699" s="19"/>
      <c r="P5699" s="19"/>
      <c r="Q5699" s="19"/>
      <c r="R5699" s="19"/>
    </row>
    <row r="5700" spans="13:18">
      <c r="M5700" s="19"/>
      <c r="N5700" s="19"/>
      <c r="O5700" s="19"/>
      <c r="P5700" s="19"/>
      <c r="Q5700" s="19"/>
      <c r="R5700" s="19"/>
    </row>
    <row r="5701" spans="13:18">
      <c r="M5701" s="19"/>
      <c r="N5701" s="19"/>
      <c r="O5701" s="19"/>
      <c r="P5701" s="19"/>
      <c r="Q5701" s="19"/>
      <c r="R5701" s="19"/>
    </row>
    <row r="5702" spans="13:18">
      <c r="M5702" s="19"/>
      <c r="N5702" s="19"/>
      <c r="O5702" s="19"/>
      <c r="P5702" s="19"/>
      <c r="Q5702" s="19"/>
      <c r="R5702" s="19"/>
    </row>
    <row r="5703" spans="13:18">
      <c r="M5703" s="19"/>
      <c r="N5703" s="19"/>
      <c r="O5703" s="19"/>
      <c r="P5703" s="19"/>
      <c r="Q5703" s="19"/>
      <c r="R5703" s="19"/>
    </row>
    <row r="5704" spans="13:18">
      <c r="M5704" s="19"/>
      <c r="N5704" s="19"/>
      <c r="O5704" s="19"/>
      <c r="P5704" s="19"/>
      <c r="Q5704" s="19"/>
      <c r="R5704" s="19"/>
    </row>
    <row r="5705" spans="13:18">
      <c r="M5705" s="19"/>
      <c r="N5705" s="19"/>
      <c r="O5705" s="19"/>
      <c r="P5705" s="19"/>
      <c r="Q5705" s="19"/>
      <c r="R5705" s="19"/>
    </row>
    <row r="5706" spans="13:18">
      <c r="M5706" s="19"/>
      <c r="N5706" s="19"/>
      <c r="O5706" s="19"/>
      <c r="P5706" s="19"/>
      <c r="Q5706" s="19"/>
      <c r="R5706" s="19"/>
    </row>
    <row r="5707" spans="13:18">
      <c r="M5707" s="19"/>
      <c r="N5707" s="19"/>
      <c r="O5707" s="19"/>
      <c r="P5707" s="19"/>
      <c r="Q5707" s="19"/>
      <c r="R5707" s="19"/>
    </row>
    <row r="5708" spans="13:18">
      <c r="M5708" s="19"/>
      <c r="N5708" s="19"/>
      <c r="O5708" s="19"/>
      <c r="P5708" s="19"/>
      <c r="Q5708" s="19"/>
      <c r="R5708" s="19"/>
    </row>
    <row r="5709" spans="13:18">
      <c r="M5709" s="19"/>
      <c r="N5709" s="19"/>
      <c r="O5709" s="19"/>
      <c r="P5709" s="19"/>
      <c r="Q5709" s="19"/>
      <c r="R5709" s="19"/>
    </row>
    <row r="5710" spans="13:18">
      <c r="M5710" s="19"/>
      <c r="N5710" s="19"/>
      <c r="O5710" s="19"/>
      <c r="P5710" s="19"/>
      <c r="Q5710" s="19"/>
      <c r="R5710" s="19"/>
    </row>
    <row r="5711" spans="13:18">
      <c r="M5711" s="19"/>
      <c r="N5711" s="19"/>
      <c r="O5711" s="19"/>
      <c r="P5711" s="19"/>
      <c r="Q5711" s="19"/>
      <c r="R5711" s="19"/>
    </row>
    <row r="5712" spans="13:18">
      <c r="M5712" s="19"/>
      <c r="N5712" s="19"/>
      <c r="O5712" s="19"/>
      <c r="P5712" s="19"/>
      <c r="Q5712" s="19"/>
      <c r="R5712" s="19"/>
    </row>
    <row r="5713" spans="13:18">
      <c r="M5713" s="19"/>
      <c r="N5713" s="19"/>
      <c r="O5713" s="19"/>
      <c r="P5713" s="19"/>
      <c r="Q5713" s="19"/>
      <c r="R5713" s="19"/>
    </row>
    <row r="5714" spans="13:18">
      <c r="M5714" s="19"/>
      <c r="N5714" s="19"/>
      <c r="O5714" s="19"/>
      <c r="P5714" s="19"/>
      <c r="Q5714" s="19"/>
      <c r="R5714" s="19"/>
    </row>
    <row r="5715" spans="13:18">
      <c r="M5715" s="19"/>
      <c r="N5715" s="19"/>
      <c r="O5715" s="19"/>
      <c r="P5715" s="19"/>
      <c r="Q5715" s="19"/>
      <c r="R5715" s="19"/>
    </row>
    <row r="5716" spans="13:18">
      <c r="M5716" s="19"/>
      <c r="N5716" s="19"/>
      <c r="O5716" s="19"/>
      <c r="P5716" s="19"/>
      <c r="Q5716" s="19"/>
      <c r="R5716" s="19"/>
    </row>
    <row r="5717" spans="13:18">
      <c r="M5717" s="19"/>
      <c r="N5717" s="19"/>
      <c r="O5717" s="19"/>
      <c r="P5717" s="19"/>
      <c r="Q5717" s="19"/>
      <c r="R5717" s="19"/>
    </row>
    <row r="5718" spans="13:18">
      <c r="M5718" s="19"/>
      <c r="N5718" s="19"/>
      <c r="O5718" s="19"/>
      <c r="P5718" s="19"/>
      <c r="Q5718" s="19"/>
      <c r="R5718" s="19"/>
    </row>
    <row r="5719" spans="13:18">
      <c r="M5719" s="19"/>
      <c r="N5719" s="19"/>
      <c r="O5719" s="19"/>
      <c r="P5719" s="19"/>
      <c r="Q5719" s="19"/>
      <c r="R5719" s="19"/>
    </row>
    <row r="5720" spans="13:18">
      <c r="M5720" s="19"/>
      <c r="N5720" s="19"/>
      <c r="O5720" s="19"/>
      <c r="P5720" s="19"/>
      <c r="Q5720" s="19"/>
      <c r="R5720" s="19"/>
    </row>
    <row r="5721" spans="13:18">
      <c r="M5721" s="19"/>
      <c r="N5721" s="19"/>
      <c r="O5721" s="19"/>
      <c r="P5721" s="19"/>
      <c r="Q5721" s="19"/>
      <c r="R5721" s="19"/>
    </row>
    <row r="5722" spans="13:18">
      <c r="M5722" s="19"/>
      <c r="N5722" s="19"/>
      <c r="O5722" s="19"/>
      <c r="P5722" s="19"/>
      <c r="Q5722" s="19"/>
      <c r="R5722" s="19"/>
    </row>
    <row r="5723" spans="13:18">
      <c r="M5723" s="19"/>
      <c r="N5723" s="19"/>
      <c r="O5723" s="19"/>
      <c r="P5723" s="19"/>
      <c r="Q5723" s="19"/>
      <c r="R5723" s="19"/>
    </row>
    <row r="5724" spans="13:18">
      <c r="M5724" s="19"/>
      <c r="N5724" s="19"/>
      <c r="O5724" s="19"/>
      <c r="P5724" s="19"/>
      <c r="Q5724" s="19"/>
      <c r="R5724" s="19"/>
    </row>
    <row r="5725" spans="13:18">
      <c r="M5725" s="19"/>
      <c r="N5725" s="19"/>
      <c r="O5725" s="19"/>
      <c r="P5725" s="19"/>
      <c r="Q5725" s="19"/>
      <c r="R5725" s="19"/>
    </row>
    <row r="5726" spans="13:18">
      <c r="M5726" s="19"/>
      <c r="N5726" s="19"/>
      <c r="O5726" s="19"/>
      <c r="P5726" s="19"/>
      <c r="Q5726" s="19"/>
      <c r="R5726" s="19"/>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165</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8" width="18.81640625" style="124" customWidth="1"/>
    <col min="9" max="9" width="9.1796875" style="124" customWidth="1"/>
    <col min="10" max="10" width="15.453125" style="124" customWidth="1"/>
    <col min="11" max="11" width="1.1796875" style="124" customWidth="1"/>
    <col min="12" max="12" width="3.1796875" style="124" customWidth="1"/>
    <col min="13" max="17" width="18.81640625"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142</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23"/>
      <c r="E12" s="123"/>
      <c r="F12" s="19"/>
      <c r="G12" s="385"/>
      <c r="H12" s="385"/>
      <c r="I12" s="19"/>
      <c r="K12" s="139"/>
      <c r="M12" s="19"/>
      <c r="N12" s="19"/>
      <c r="O12" s="19"/>
      <c r="P12" s="386"/>
      <c r="Q12" s="386"/>
    </row>
    <row r="13" spans="1:17" s="105" customFormat="1" ht="44" thickBot="1">
      <c r="A13" s="133"/>
      <c r="B13" s="515"/>
      <c r="C13" s="19"/>
      <c r="D13" s="502" t="s">
        <v>71</v>
      </c>
      <c r="E13" s="503" t="s">
        <v>72</v>
      </c>
      <c r="F13" s="503" t="s">
        <v>114</v>
      </c>
      <c r="G13" s="685" t="s">
        <v>62</v>
      </c>
      <c r="H13" s="669" t="s">
        <v>115</v>
      </c>
      <c r="I13" s="199"/>
      <c r="K13" s="139"/>
      <c r="M13" s="675"/>
      <c r="N13" s="241"/>
      <c r="O13" s="241"/>
      <c r="P13" s="516"/>
      <c r="Q13" s="516"/>
    </row>
    <row r="14" spans="1:17">
      <c r="A14" s="206"/>
      <c r="B14" s="13"/>
      <c r="C14" s="12"/>
      <c r="D14" s="686" t="s">
        <v>602</v>
      </c>
      <c r="E14" s="687">
        <f t="shared" ref="E14:E54" si="0">VLOOKUP(CONCATENATE("CPB_",D14),Assets_Daten,3,0)</f>
        <v>3922750.760000004</v>
      </c>
      <c r="F14" s="688">
        <f>E14/$E$55</f>
        <v>7.9626623433957308E-3</v>
      </c>
      <c r="G14" s="689">
        <f t="shared" ref="G14:G54" si="1">VLOOKUP(CONCATENATE("CPB_",D14),Assets_Daten,2,0)</f>
        <v>3944</v>
      </c>
      <c r="H14" s="690">
        <f>G14/$G$55</f>
        <v>0.11049166549936966</v>
      </c>
      <c r="I14" s="199"/>
      <c r="K14" s="200"/>
      <c r="M14" s="223"/>
      <c r="N14" s="12"/>
      <c r="O14" s="224"/>
      <c r="P14" s="225"/>
      <c r="Q14" s="224"/>
    </row>
    <row r="15" spans="1:17">
      <c r="A15" s="206"/>
      <c r="B15" s="13"/>
      <c r="C15" s="12"/>
      <c r="D15" s="686" t="s">
        <v>603</v>
      </c>
      <c r="E15" s="687">
        <f t="shared" si="0"/>
        <v>12896525.789999979</v>
      </c>
      <c r="F15" s="688">
        <f t="shared" ref="F15:F54" si="2">E15/$E$55</f>
        <v>2.6178232202717006E-2</v>
      </c>
      <c r="G15" s="689">
        <f t="shared" si="1"/>
        <v>4287</v>
      </c>
      <c r="H15" s="690">
        <f t="shared" ref="H15:H54" si="3">G15/$G$55</f>
        <v>0.12010085446140917</v>
      </c>
      <c r="I15" s="199"/>
      <c r="K15" s="200"/>
      <c r="M15" s="223"/>
      <c r="N15" s="12"/>
      <c r="O15" s="224"/>
      <c r="P15" s="225"/>
      <c r="Q15" s="224"/>
    </row>
    <row r="16" spans="1:17">
      <c r="A16" s="206"/>
      <c r="B16" s="13"/>
      <c r="C16" s="12"/>
      <c r="D16" s="686" t="s">
        <v>604</v>
      </c>
      <c r="E16" s="687">
        <f t="shared" si="0"/>
        <v>19051403.729999974</v>
      </c>
      <c r="F16" s="688">
        <f t="shared" si="2"/>
        <v>3.8671815863646562E-2</v>
      </c>
      <c r="G16" s="689">
        <f t="shared" si="1"/>
        <v>3820</v>
      </c>
      <c r="H16" s="690">
        <f t="shared" si="3"/>
        <v>0.10701778960638744</v>
      </c>
      <c r="I16" s="199"/>
      <c r="K16" s="200"/>
      <c r="M16" s="223"/>
      <c r="N16" s="12"/>
      <c r="O16" s="224"/>
      <c r="P16" s="225"/>
      <c r="Q16" s="224"/>
    </row>
    <row r="17" spans="1:17">
      <c r="A17" s="206"/>
      <c r="B17" s="13"/>
      <c r="C17" s="12"/>
      <c r="D17" s="686" t="s">
        <v>605</v>
      </c>
      <c r="E17" s="687">
        <f t="shared" si="0"/>
        <v>24780313.699999936</v>
      </c>
      <c r="F17" s="688">
        <f t="shared" si="2"/>
        <v>5.0300741196344229E-2</v>
      </c>
      <c r="G17" s="689">
        <f t="shared" si="1"/>
        <v>3546</v>
      </c>
      <c r="H17" s="690">
        <f t="shared" si="3"/>
        <v>9.9341644488023531E-2</v>
      </c>
      <c r="I17" s="199"/>
      <c r="K17" s="200"/>
      <c r="M17" s="223"/>
      <c r="N17" s="12"/>
      <c r="O17" s="224"/>
      <c r="P17" s="225"/>
      <c r="Q17" s="224"/>
    </row>
    <row r="18" spans="1:17">
      <c r="A18" s="206"/>
      <c r="B18" s="13"/>
      <c r="C18" s="12"/>
      <c r="D18" s="686" t="s">
        <v>606</v>
      </c>
      <c r="E18" s="687">
        <f t="shared" si="0"/>
        <v>22954909.500000078</v>
      </c>
      <c r="F18" s="688">
        <f t="shared" si="2"/>
        <v>4.6595413436796421E-2</v>
      </c>
      <c r="G18" s="689">
        <f t="shared" si="1"/>
        <v>2568</v>
      </c>
      <c r="H18" s="690">
        <f t="shared" si="3"/>
        <v>7.1942849138534812E-2</v>
      </c>
      <c r="I18" s="199"/>
      <c r="K18" s="200"/>
      <c r="M18" s="223"/>
      <c r="N18" s="12"/>
      <c r="O18" s="224"/>
      <c r="P18" s="225"/>
      <c r="Q18" s="224"/>
    </row>
    <row r="19" spans="1:17">
      <c r="A19" s="206"/>
      <c r="B19" s="13"/>
      <c r="C19" s="12"/>
      <c r="D19" s="686" t="s">
        <v>607</v>
      </c>
      <c r="E19" s="687">
        <f t="shared" si="0"/>
        <v>26181268.489999965</v>
      </c>
      <c r="F19" s="688">
        <f t="shared" si="2"/>
        <v>5.314449310250232E-2</v>
      </c>
      <c r="G19" s="689">
        <f t="shared" si="1"/>
        <v>2382</v>
      </c>
      <c r="H19" s="690">
        <f t="shared" si="3"/>
        <v>6.6732035299061493E-2</v>
      </c>
      <c r="I19" s="199"/>
      <c r="K19" s="200"/>
      <c r="M19" s="223"/>
      <c r="N19" s="12"/>
      <c r="O19" s="224"/>
      <c r="P19" s="225"/>
      <c r="Q19" s="224"/>
    </row>
    <row r="20" spans="1:17">
      <c r="A20" s="206"/>
      <c r="B20" s="13"/>
      <c r="C20" s="12"/>
      <c r="D20" s="686" t="s">
        <v>608</v>
      </c>
      <c r="E20" s="687">
        <f t="shared" si="0"/>
        <v>24704323.91000003</v>
      </c>
      <c r="F20" s="688">
        <f t="shared" si="2"/>
        <v>5.0146492028774171E-2</v>
      </c>
      <c r="G20" s="689">
        <f t="shared" si="1"/>
        <v>1902</v>
      </c>
      <c r="H20" s="690">
        <f t="shared" si="3"/>
        <v>5.3284773777840036E-2</v>
      </c>
      <c r="I20" s="199"/>
      <c r="K20" s="200"/>
      <c r="M20" s="223"/>
      <c r="N20" s="12"/>
      <c r="O20" s="224"/>
      <c r="P20" s="225"/>
      <c r="Q20" s="224"/>
    </row>
    <row r="21" spans="1:17">
      <c r="A21" s="206"/>
      <c r="B21" s="13"/>
      <c r="C21" s="12"/>
      <c r="D21" s="125" t="s">
        <v>609</v>
      </c>
      <c r="E21" s="687">
        <f t="shared" si="0"/>
        <v>27178725.120000012</v>
      </c>
      <c r="F21" s="688">
        <f t="shared" si="2"/>
        <v>5.5169197406395379E-2</v>
      </c>
      <c r="G21" s="689">
        <f t="shared" si="1"/>
        <v>1809</v>
      </c>
      <c r="H21" s="690">
        <f t="shared" si="3"/>
        <v>5.0679366858103377E-2</v>
      </c>
      <c r="I21" s="199"/>
      <c r="K21" s="200"/>
      <c r="M21" s="223"/>
      <c r="N21" s="12"/>
      <c r="O21" s="224"/>
      <c r="P21" s="225"/>
      <c r="Q21" s="224"/>
    </row>
    <row r="22" spans="1:17">
      <c r="A22" s="206"/>
      <c r="B22" s="13"/>
      <c r="C22" s="12"/>
      <c r="D22" s="686" t="s">
        <v>610</v>
      </c>
      <c r="E22" s="687">
        <f t="shared" si="0"/>
        <v>25615550.059999961</v>
      </c>
      <c r="F22" s="688">
        <f t="shared" si="2"/>
        <v>5.1996159926339484E-2</v>
      </c>
      <c r="G22" s="689">
        <f t="shared" si="1"/>
        <v>1509</v>
      </c>
      <c r="H22" s="690">
        <f t="shared" si="3"/>
        <v>4.2274828407339961E-2</v>
      </c>
      <c r="I22" s="199"/>
      <c r="K22" s="200"/>
      <c r="M22" s="223"/>
      <c r="N22" s="12"/>
      <c r="O22" s="224"/>
      <c r="P22" s="225"/>
      <c r="Q22" s="224"/>
    </row>
    <row r="23" spans="1:17">
      <c r="A23" s="206"/>
      <c r="B23" s="13"/>
      <c r="C23" s="12"/>
      <c r="D23" s="686" t="s">
        <v>611</v>
      </c>
      <c r="E23" s="687">
        <f t="shared" si="0"/>
        <v>25795057.439999998</v>
      </c>
      <c r="F23" s="688">
        <f t="shared" si="2"/>
        <v>5.236053603446824E-2</v>
      </c>
      <c r="G23" s="689">
        <f t="shared" si="1"/>
        <v>1358</v>
      </c>
      <c r="H23" s="690">
        <f t="shared" si="3"/>
        <v>3.8044544053789049E-2</v>
      </c>
      <c r="I23" s="199"/>
      <c r="K23" s="200"/>
      <c r="M23" s="223"/>
      <c r="N23" s="12"/>
      <c r="O23" s="224"/>
      <c r="P23" s="225"/>
      <c r="Q23" s="224"/>
    </row>
    <row r="24" spans="1:17">
      <c r="A24" s="206"/>
      <c r="B24" s="13"/>
      <c r="C24" s="12"/>
      <c r="D24" s="686" t="s">
        <v>612</v>
      </c>
      <c r="E24" s="687">
        <f t="shared" si="0"/>
        <v>23973636.979999997</v>
      </c>
      <c r="F24" s="688">
        <f t="shared" si="2"/>
        <v>4.8663294737309577E-2</v>
      </c>
      <c r="G24" s="689">
        <f t="shared" si="1"/>
        <v>1144</v>
      </c>
      <c r="H24" s="690">
        <f t="shared" si="3"/>
        <v>3.2049306625577811E-2</v>
      </c>
      <c r="I24" s="199"/>
      <c r="K24" s="200"/>
      <c r="M24" s="223"/>
      <c r="N24" s="12"/>
      <c r="O24" s="224"/>
      <c r="P24" s="225"/>
      <c r="Q24" s="224"/>
    </row>
    <row r="25" spans="1:17">
      <c r="A25" s="206"/>
      <c r="B25" s="13"/>
      <c r="C25" s="12"/>
      <c r="D25" s="686" t="s">
        <v>613</v>
      </c>
      <c r="E25" s="687">
        <f t="shared" si="0"/>
        <v>23470396.490000036</v>
      </c>
      <c r="F25" s="688">
        <f t="shared" si="2"/>
        <v>4.764178347020203E-2</v>
      </c>
      <c r="G25" s="689">
        <f t="shared" si="1"/>
        <v>1023</v>
      </c>
      <c r="H25" s="690">
        <f t="shared" si="3"/>
        <v>2.8659476117103237E-2</v>
      </c>
      <c r="I25" s="199"/>
      <c r="K25" s="200"/>
      <c r="M25" s="223"/>
      <c r="N25" s="12"/>
      <c r="O25" s="224"/>
      <c r="P25" s="225"/>
      <c r="Q25" s="224"/>
    </row>
    <row r="26" spans="1:17">
      <c r="A26" s="206"/>
      <c r="B26" s="13"/>
      <c r="C26" s="12"/>
      <c r="D26" s="686" t="s">
        <v>614</v>
      </c>
      <c r="E26" s="687">
        <f t="shared" si="0"/>
        <v>20375977.189999983</v>
      </c>
      <c r="F26" s="688">
        <f t="shared" si="2"/>
        <v>4.1360523828106545E-2</v>
      </c>
      <c r="G26" s="689">
        <f t="shared" si="1"/>
        <v>816</v>
      </c>
      <c r="H26" s="690">
        <f t="shared" si="3"/>
        <v>2.286034458607648E-2</v>
      </c>
      <c r="I26" s="199"/>
      <c r="K26" s="200"/>
      <c r="M26" s="223"/>
      <c r="N26" s="12"/>
      <c r="O26" s="224"/>
      <c r="P26" s="225"/>
      <c r="Q26" s="224"/>
    </row>
    <row r="27" spans="1:17">
      <c r="A27" s="206"/>
      <c r="B27" s="13"/>
      <c r="C27" s="12"/>
      <c r="D27" s="686" t="s">
        <v>615</v>
      </c>
      <c r="E27" s="687">
        <f t="shared" si="0"/>
        <v>20447831.879999988</v>
      </c>
      <c r="F27" s="688">
        <f t="shared" si="2"/>
        <v>4.1506379292617225E-2</v>
      </c>
      <c r="G27" s="689">
        <f t="shared" si="1"/>
        <v>757</v>
      </c>
      <c r="H27" s="690">
        <f t="shared" si="3"/>
        <v>2.120745202409301E-2</v>
      </c>
      <c r="I27" s="199"/>
      <c r="K27" s="200"/>
      <c r="M27" s="223"/>
      <c r="N27" s="12"/>
      <c r="O27" s="224"/>
      <c r="P27" s="225"/>
      <c r="Q27" s="224"/>
    </row>
    <row r="28" spans="1:17">
      <c r="A28" s="206"/>
      <c r="B28" s="13"/>
      <c r="C28" s="12"/>
      <c r="D28" s="686" t="s">
        <v>616</v>
      </c>
      <c r="E28" s="687">
        <f t="shared" si="0"/>
        <v>18512302.199999999</v>
      </c>
      <c r="F28" s="688">
        <f t="shared" si="2"/>
        <v>3.7577511454615534E-2</v>
      </c>
      <c r="G28" s="689">
        <f t="shared" si="1"/>
        <v>639</v>
      </c>
      <c r="H28" s="690">
        <f t="shared" si="3"/>
        <v>1.7901666900126068E-2</v>
      </c>
      <c r="I28" s="199"/>
      <c r="K28" s="200"/>
      <c r="M28" s="223"/>
      <c r="N28" s="12"/>
      <c r="O28" s="224"/>
      <c r="P28" s="225"/>
      <c r="Q28" s="224"/>
    </row>
    <row r="29" spans="1:17">
      <c r="A29" s="206"/>
      <c r="B29" s="13"/>
      <c r="C29" s="12"/>
      <c r="D29" s="686" t="s">
        <v>617</v>
      </c>
      <c r="E29" s="687">
        <f t="shared" si="0"/>
        <v>19157347.899999995</v>
      </c>
      <c r="F29" s="688">
        <f t="shared" si="2"/>
        <v>3.8886868438886259E-2</v>
      </c>
      <c r="G29" s="689">
        <f t="shared" si="1"/>
        <v>619</v>
      </c>
      <c r="H29" s="690">
        <f t="shared" si="3"/>
        <v>1.7341364336741841E-2</v>
      </c>
      <c r="I29" s="199"/>
      <c r="K29" s="200"/>
      <c r="M29" s="223"/>
      <c r="N29" s="12"/>
      <c r="O29" s="224"/>
      <c r="P29" s="225"/>
      <c r="Q29" s="224"/>
    </row>
    <row r="30" spans="1:17">
      <c r="A30" s="206"/>
      <c r="B30" s="13"/>
      <c r="C30" s="12"/>
      <c r="D30" s="686" t="s">
        <v>618</v>
      </c>
      <c r="E30" s="687">
        <f t="shared" si="0"/>
        <v>17622300.170000009</v>
      </c>
      <c r="F30" s="688">
        <f t="shared" si="2"/>
        <v>3.5770925697985241E-2</v>
      </c>
      <c r="G30" s="689">
        <f t="shared" si="1"/>
        <v>534</v>
      </c>
      <c r="H30" s="690">
        <f t="shared" si="3"/>
        <v>1.4960078442358873E-2</v>
      </c>
      <c r="I30" s="199"/>
      <c r="K30" s="200"/>
      <c r="M30" s="223"/>
      <c r="N30" s="12"/>
      <c r="O30" s="224"/>
      <c r="P30" s="225"/>
      <c r="Q30" s="224"/>
    </row>
    <row r="31" spans="1:17">
      <c r="A31" s="206"/>
      <c r="B31" s="13"/>
      <c r="C31" s="12"/>
      <c r="D31" s="686" t="s">
        <v>619</v>
      </c>
      <c r="E31" s="687">
        <f t="shared" si="0"/>
        <v>16224609.069999995</v>
      </c>
      <c r="F31" s="688">
        <f t="shared" si="2"/>
        <v>3.293379864847841E-2</v>
      </c>
      <c r="G31" s="689">
        <f t="shared" si="1"/>
        <v>463</v>
      </c>
      <c r="H31" s="690">
        <f t="shared" si="3"/>
        <v>1.2971004342344866E-2</v>
      </c>
      <c r="I31" s="199"/>
      <c r="K31" s="200"/>
      <c r="M31" s="223"/>
      <c r="N31" s="12"/>
      <c r="O31" s="224"/>
      <c r="P31" s="225"/>
      <c r="Q31" s="224"/>
    </row>
    <row r="32" spans="1:17">
      <c r="A32" s="206"/>
      <c r="B32" s="13"/>
      <c r="C32" s="12"/>
      <c r="D32" s="686" t="s">
        <v>620</v>
      </c>
      <c r="E32" s="687">
        <f t="shared" si="0"/>
        <v>14144499.609999996</v>
      </c>
      <c r="F32" s="688">
        <f t="shared" si="2"/>
        <v>2.8711453085212699E-2</v>
      </c>
      <c r="G32" s="689">
        <f t="shared" si="1"/>
        <v>382</v>
      </c>
      <c r="H32" s="690">
        <f t="shared" si="3"/>
        <v>1.0701778960638744E-2</v>
      </c>
      <c r="I32" s="199"/>
      <c r="K32" s="200"/>
      <c r="M32" s="223"/>
      <c r="N32" s="12"/>
      <c r="O32" s="224"/>
      <c r="P32" s="225"/>
      <c r="Q32" s="224"/>
    </row>
    <row r="33" spans="1:17">
      <c r="A33" s="206"/>
      <c r="B33" s="13"/>
      <c r="C33" s="12"/>
      <c r="D33" s="686" t="s">
        <v>621</v>
      </c>
      <c r="E33" s="687">
        <f t="shared" si="0"/>
        <v>14456007.699999996</v>
      </c>
      <c r="F33" s="688">
        <f t="shared" si="2"/>
        <v>2.9343773079436884E-2</v>
      </c>
      <c r="G33" s="689">
        <f t="shared" si="1"/>
        <v>371</v>
      </c>
      <c r="H33" s="690">
        <f t="shared" si="3"/>
        <v>1.039361255077742E-2</v>
      </c>
      <c r="I33" s="199"/>
      <c r="K33" s="200"/>
      <c r="M33" s="223"/>
      <c r="N33" s="12"/>
      <c r="O33" s="224"/>
      <c r="P33" s="225"/>
      <c r="Q33" s="224"/>
    </row>
    <row r="34" spans="1:17">
      <c r="A34" s="206"/>
      <c r="B34" s="13"/>
      <c r="C34" s="12"/>
      <c r="D34" s="686" t="s">
        <v>622</v>
      </c>
      <c r="E34" s="687">
        <f t="shared" si="0"/>
        <v>10828904.550000003</v>
      </c>
      <c r="F34" s="688">
        <f t="shared" si="2"/>
        <v>2.1981236065202275E-2</v>
      </c>
      <c r="G34" s="689">
        <f t="shared" si="1"/>
        <v>264</v>
      </c>
      <c r="H34" s="690">
        <f t="shared" si="3"/>
        <v>7.395993836671803E-3</v>
      </c>
      <c r="I34" s="199"/>
      <c r="K34" s="200"/>
      <c r="M34" s="223"/>
      <c r="N34" s="12"/>
      <c r="O34" s="224"/>
      <c r="P34" s="225"/>
      <c r="Q34" s="224"/>
    </row>
    <row r="35" spans="1:17">
      <c r="A35" s="206"/>
      <c r="B35" s="13"/>
      <c r="C35" s="12"/>
      <c r="D35" s="686" t="s">
        <v>623</v>
      </c>
      <c r="E35" s="687">
        <f t="shared" si="0"/>
        <v>10824445.54999999</v>
      </c>
      <c r="F35" s="688">
        <f t="shared" si="2"/>
        <v>2.1972184888219184E-2</v>
      </c>
      <c r="G35" s="689">
        <f t="shared" si="1"/>
        <v>252</v>
      </c>
      <c r="H35" s="690">
        <f t="shared" si="3"/>
        <v>7.0598122986412666E-3</v>
      </c>
      <c r="I35" s="199"/>
      <c r="K35" s="200"/>
      <c r="M35" s="223"/>
      <c r="N35" s="12"/>
      <c r="O35" s="224"/>
      <c r="P35" s="225"/>
      <c r="Q35" s="224"/>
    </row>
    <row r="36" spans="1:17">
      <c r="A36" s="206"/>
      <c r="B36" s="13"/>
      <c r="C36" s="12"/>
      <c r="D36" s="686" t="s">
        <v>624</v>
      </c>
      <c r="E36" s="687">
        <f t="shared" si="0"/>
        <v>9428516.7299999986</v>
      </c>
      <c r="F36" s="688">
        <f t="shared" si="2"/>
        <v>1.9138635032741047E-2</v>
      </c>
      <c r="G36" s="689">
        <f t="shared" si="1"/>
        <v>210</v>
      </c>
      <c r="H36" s="690">
        <f t="shared" si="3"/>
        <v>5.8831769155343883E-3</v>
      </c>
      <c r="I36" s="199"/>
      <c r="K36" s="200"/>
      <c r="M36" s="223"/>
      <c r="N36" s="12"/>
      <c r="O36" s="224"/>
      <c r="P36" s="225"/>
      <c r="Q36" s="224"/>
    </row>
    <row r="37" spans="1:17">
      <c r="A37" s="206"/>
      <c r="B37" s="13"/>
      <c r="C37" s="12"/>
      <c r="D37" s="686" t="s">
        <v>625</v>
      </c>
      <c r="E37" s="687">
        <f t="shared" si="0"/>
        <v>8971979.9200000037</v>
      </c>
      <c r="F37" s="688">
        <f t="shared" si="2"/>
        <v>1.8211926024758861E-2</v>
      </c>
      <c r="G37" s="689">
        <f t="shared" si="1"/>
        <v>191</v>
      </c>
      <c r="H37" s="690">
        <f t="shared" si="3"/>
        <v>5.3508894803193721E-3</v>
      </c>
      <c r="I37" s="199"/>
      <c r="K37" s="200"/>
      <c r="M37" s="223"/>
      <c r="N37" s="12"/>
      <c r="O37" s="224"/>
      <c r="P37" s="225"/>
      <c r="Q37" s="224"/>
    </row>
    <row r="38" spans="1:17">
      <c r="A38" s="206"/>
      <c r="B38" s="13"/>
      <c r="C38" s="12"/>
      <c r="D38" s="686" t="s">
        <v>626</v>
      </c>
      <c r="E38" s="687">
        <f t="shared" si="0"/>
        <v>7258058.5199999977</v>
      </c>
      <c r="F38" s="688">
        <f t="shared" si="2"/>
        <v>1.4732893522749958E-2</v>
      </c>
      <c r="G38" s="689">
        <f t="shared" si="1"/>
        <v>148</v>
      </c>
      <c r="H38" s="690">
        <f t="shared" si="3"/>
        <v>4.1462389690432831E-3</v>
      </c>
      <c r="I38" s="199"/>
      <c r="K38" s="200"/>
      <c r="M38" s="223"/>
      <c r="N38" s="12"/>
      <c r="O38" s="224"/>
      <c r="P38" s="225"/>
      <c r="Q38" s="224"/>
    </row>
    <row r="39" spans="1:17">
      <c r="A39" s="206"/>
      <c r="B39" s="13"/>
      <c r="C39" s="12"/>
      <c r="D39" s="686" t="s">
        <v>627</v>
      </c>
      <c r="E39" s="687">
        <f t="shared" si="0"/>
        <v>7077970.8500000043</v>
      </c>
      <c r="F39" s="688">
        <f t="shared" si="2"/>
        <v>1.4367339503095948E-2</v>
      </c>
      <c r="G39" s="689">
        <f t="shared" si="1"/>
        <v>139</v>
      </c>
      <c r="H39" s="690">
        <f t="shared" si="3"/>
        <v>3.8941028155203808E-3</v>
      </c>
      <c r="I39" s="199"/>
      <c r="K39" s="200"/>
      <c r="M39" s="223"/>
      <c r="N39" s="12"/>
      <c r="O39" s="224"/>
      <c r="P39" s="225"/>
      <c r="Q39" s="224"/>
    </row>
    <row r="40" spans="1:17">
      <c r="A40" s="206"/>
      <c r="B40" s="13"/>
      <c r="C40" s="12"/>
      <c r="D40" s="686" t="s">
        <v>628</v>
      </c>
      <c r="E40" s="687">
        <f t="shared" si="0"/>
        <v>5685136.5399999991</v>
      </c>
      <c r="F40" s="688">
        <f t="shared" si="2"/>
        <v>1.1540071091368814E-2</v>
      </c>
      <c r="G40" s="689">
        <f t="shared" si="1"/>
        <v>107</v>
      </c>
      <c r="H40" s="690">
        <f t="shared" si="3"/>
        <v>2.9976187141056172E-3</v>
      </c>
      <c r="I40" s="199"/>
      <c r="K40" s="200"/>
      <c r="M40" s="223"/>
      <c r="N40" s="12"/>
      <c r="O40" s="224"/>
      <c r="P40" s="225"/>
      <c r="Q40" s="224"/>
    </row>
    <row r="41" spans="1:17">
      <c r="A41" s="206"/>
      <c r="B41" s="13"/>
      <c r="C41" s="12"/>
      <c r="D41" s="686" t="s">
        <v>629</v>
      </c>
      <c r="E41" s="687">
        <f t="shared" si="0"/>
        <v>6779731.0700000003</v>
      </c>
      <c r="F41" s="688">
        <f t="shared" si="2"/>
        <v>1.3761952413575976E-2</v>
      </c>
      <c r="G41" s="689">
        <f t="shared" si="1"/>
        <v>123</v>
      </c>
      <c r="H41" s="690">
        <f t="shared" si="3"/>
        <v>3.4458607648129992E-3</v>
      </c>
      <c r="I41" s="199"/>
      <c r="K41" s="200"/>
      <c r="M41" s="223"/>
      <c r="N41" s="12"/>
      <c r="O41" s="224"/>
      <c r="P41" s="225"/>
      <c r="Q41" s="224"/>
    </row>
    <row r="42" spans="1:17">
      <c r="A42" s="206"/>
      <c r="B42" s="13"/>
      <c r="C42" s="12"/>
      <c r="D42" s="686" t="s">
        <v>630</v>
      </c>
      <c r="E42" s="687">
        <f t="shared" si="0"/>
        <v>4611222.6099999994</v>
      </c>
      <c r="F42" s="688">
        <f t="shared" si="2"/>
        <v>9.3601686367812825E-3</v>
      </c>
      <c r="G42" s="689">
        <f t="shared" si="1"/>
        <v>81</v>
      </c>
      <c r="H42" s="690">
        <f t="shared" si="3"/>
        <v>2.2692253817061213E-3</v>
      </c>
      <c r="I42" s="199"/>
      <c r="K42" s="200"/>
      <c r="M42" s="223"/>
      <c r="N42" s="12"/>
      <c r="O42" s="224"/>
      <c r="P42" s="225"/>
      <c r="Q42" s="224"/>
    </row>
    <row r="43" spans="1:17">
      <c r="A43" s="206"/>
      <c r="B43" s="13"/>
      <c r="C43" s="12"/>
      <c r="D43" s="686" t="s">
        <v>631</v>
      </c>
      <c r="E43" s="687">
        <f t="shared" si="0"/>
        <v>4291992.2200000007</v>
      </c>
      <c r="F43" s="688">
        <f t="shared" si="2"/>
        <v>8.7121734005709342E-3</v>
      </c>
      <c r="G43" s="689">
        <f t="shared" si="1"/>
        <v>73</v>
      </c>
      <c r="H43" s="690">
        <f t="shared" si="3"/>
        <v>2.0451043563524305E-3</v>
      </c>
      <c r="I43" s="199"/>
      <c r="K43" s="200"/>
      <c r="M43" s="223"/>
      <c r="N43" s="12"/>
      <c r="O43" s="224"/>
      <c r="P43" s="225"/>
      <c r="Q43" s="224"/>
    </row>
    <row r="44" spans="1:17">
      <c r="A44" s="206"/>
      <c r="B44" s="13"/>
      <c r="C44" s="12"/>
      <c r="D44" s="686" t="s">
        <v>632</v>
      </c>
      <c r="E44" s="687">
        <f t="shared" si="0"/>
        <v>3595868.2000000011</v>
      </c>
      <c r="F44" s="688">
        <f t="shared" si="2"/>
        <v>7.2991342197723953E-3</v>
      </c>
      <c r="G44" s="689">
        <f t="shared" si="1"/>
        <v>59</v>
      </c>
      <c r="H44" s="690">
        <f t="shared" si="3"/>
        <v>1.652892561983471E-3</v>
      </c>
      <c r="I44" s="199"/>
      <c r="K44" s="200"/>
      <c r="M44" s="223"/>
      <c r="N44" s="12"/>
      <c r="O44" s="224"/>
      <c r="P44" s="225"/>
      <c r="Q44" s="224"/>
    </row>
    <row r="45" spans="1:17">
      <c r="A45" s="206"/>
      <c r="B45" s="13"/>
      <c r="C45" s="12"/>
      <c r="D45" s="686" t="s">
        <v>633</v>
      </c>
      <c r="E45" s="687">
        <f t="shared" si="0"/>
        <v>2709732.2699999991</v>
      </c>
      <c r="F45" s="688">
        <f t="shared" si="2"/>
        <v>5.5003961319768386E-3</v>
      </c>
      <c r="G45" s="689">
        <f t="shared" si="1"/>
        <v>43</v>
      </c>
      <c r="H45" s="690">
        <f t="shared" si="3"/>
        <v>1.204650511276089E-3</v>
      </c>
      <c r="I45" s="199"/>
      <c r="K45" s="200"/>
      <c r="M45" s="223"/>
      <c r="N45" s="12"/>
      <c r="O45" s="224"/>
      <c r="P45" s="225"/>
      <c r="Q45" s="224"/>
    </row>
    <row r="46" spans="1:17">
      <c r="A46" s="206"/>
      <c r="B46" s="13"/>
      <c r="C46" s="12"/>
      <c r="D46" s="686" t="s">
        <v>634</v>
      </c>
      <c r="E46" s="687">
        <f t="shared" si="0"/>
        <v>3247101.8299999987</v>
      </c>
      <c r="F46" s="688">
        <f t="shared" si="2"/>
        <v>6.591184872248251E-3</v>
      </c>
      <c r="G46" s="689">
        <f t="shared" si="1"/>
        <v>50</v>
      </c>
      <c r="H46" s="690">
        <f t="shared" si="3"/>
        <v>1.4007564084605687E-3</v>
      </c>
      <c r="I46" s="199"/>
      <c r="K46" s="200"/>
      <c r="M46" s="223"/>
      <c r="N46" s="12"/>
      <c r="O46" s="224"/>
      <c r="P46" s="225"/>
      <c r="Q46" s="224"/>
    </row>
    <row r="47" spans="1:17">
      <c r="A47" s="206"/>
      <c r="B47" s="13"/>
      <c r="C47" s="12"/>
      <c r="D47" s="686" t="s">
        <v>635</v>
      </c>
      <c r="E47" s="687">
        <f t="shared" si="0"/>
        <v>2011022.79</v>
      </c>
      <c r="F47" s="688">
        <f t="shared" si="2"/>
        <v>4.08210881122705E-3</v>
      </c>
      <c r="G47" s="689">
        <f t="shared" si="1"/>
        <v>30</v>
      </c>
      <c r="H47" s="690">
        <f t="shared" si="3"/>
        <v>8.4045384507634127E-4</v>
      </c>
      <c r="I47" s="199"/>
      <c r="K47" s="200"/>
      <c r="M47" s="223"/>
      <c r="N47" s="12"/>
      <c r="O47" s="224"/>
      <c r="P47" s="225"/>
      <c r="Q47" s="224"/>
    </row>
    <row r="48" spans="1:17">
      <c r="A48" s="206"/>
      <c r="B48" s="13"/>
      <c r="C48" s="12"/>
      <c r="D48" s="686" t="s">
        <v>636</v>
      </c>
      <c r="E48" s="687">
        <f t="shared" si="0"/>
        <v>1174514.3400000001</v>
      </c>
      <c r="F48" s="688">
        <f t="shared" si="2"/>
        <v>2.3841079077112411E-3</v>
      </c>
      <c r="G48" s="689">
        <f t="shared" si="1"/>
        <v>17</v>
      </c>
      <c r="H48" s="690">
        <f t="shared" si="3"/>
        <v>4.7625717887659334E-4</v>
      </c>
      <c r="I48" s="199"/>
      <c r="K48" s="200"/>
      <c r="M48" s="223"/>
      <c r="N48" s="12"/>
      <c r="O48" s="224"/>
      <c r="P48" s="225"/>
      <c r="Q48" s="224"/>
    </row>
    <row r="49" spans="1:17">
      <c r="A49" s="206"/>
      <c r="B49" s="13"/>
      <c r="C49" s="12"/>
      <c r="D49" s="686" t="s">
        <v>637</v>
      </c>
      <c r="E49" s="687">
        <f t="shared" si="0"/>
        <v>567035.16</v>
      </c>
      <c r="F49" s="688">
        <f t="shared" si="2"/>
        <v>1.1510059629466158E-3</v>
      </c>
      <c r="G49" s="689">
        <f t="shared" si="1"/>
        <v>8</v>
      </c>
      <c r="H49" s="690">
        <f t="shared" si="3"/>
        <v>2.2412102535369099E-4</v>
      </c>
      <c r="I49" s="199"/>
      <c r="K49" s="200"/>
      <c r="M49" s="223"/>
      <c r="N49" s="12"/>
      <c r="O49" s="224"/>
      <c r="P49" s="225"/>
      <c r="Q49" s="224"/>
    </row>
    <row r="50" spans="1:17">
      <c r="A50" s="206"/>
      <c r="B50" s="13"/>
      <c r="C50" s="12"/>
      <c r="D50" s="686" t="s">
        <v>638</v>
      </c>
      <c r="E50" s="687">
        <f t="shared" si="0"/>
        <v>585072.31999999995</v>
      </c>
      <c r="F50" s="688">
        <f t="shared" si="2"/>
        <v>1.1876189989259403E-3</v>
      </c>
      <c r="G50" s="689">
        <f t="shared" si="1"/>
        <v>8</v>
      </c>
      <c r="H50" s="690">
        <f t="shared" si="3"/>
        <v>2.2412102535369099E-4</v>
      </c>
      <c r="I50" s="199"/>
      <c r="K50" s="200"/>
      <c r="M50" s="223"/>
      <c r="N50" s="12"/>
      <c r="O50" s="224"/>
      <c r="P50" s="225"/>
      <c r="Q50" s="224"/>
    </row>
    <row r="51" spans="1:17">
      <c r="A51" s="206"/>
      <c r="B51" s="13"/>
      <c r="C51" s="12"/>
      <c r="D51" s="686" t="s">
        <v>639</v>
      </c>
      <c r="E51" s="687">
        <f t="shared" si="0"/>
        <v>451355.81999999995</v>
      </c>
      <c r="F51" s="688">
        <f t="shared" si="2"/>
        <v>9.1619228731893679E-4</v>
      </c>
      <c r="G51" s="689">
        <f t="shared" si="1"/>
        <v>6</v>
      </c>
      <c r="H51" s="690">
        <f t="shared" si="3"/>
        <v>1.6809076901526824E-4</v>
      </c>
      <c r="I51" s="199"/>
      <c r="K51" s="200"/>
      <c r="M51" s="223"/>
      <c r="N51" s="12"/>
      <c r="O51" s="224"/>
      <c r="P51" s="225"/>
      <c r="Q51" s="224"/>
    </row>
    <row r="52" spans="1:17">
      <c r="A52" s="206"/>
      <c r="B52" s="13"/>
      <c r="C52" s="12"/>
      <c r="D52" s="686" t="s">
        <v>640</v>
      </c>
      <c r="E52" s="687">
        <f t="shared" si="0"/>
        <v>77906.89</v>
      </c>
      <c r="F52" s="688">
        <f t="shared" si="2"/>
        <v>1.5814062560887064E-4</v>
      </c>
      <c r="G52" s="689">
        <f t="shared" si="1"/>
        <v>1</v>
      </c>
      <c r="H52" s="690">
        <f t="shared" si="3"/>
        <v>2.8015128169211374E-5</v>
      </c>
      <c r="I52" s="199"/>
      <c r="K52" s="200"/>
      <c r="M52" s="223"/>
      <c r="N52" s="12"/>
      <c r="O52" s="224"/>
      <c r="P52" s="225"/>
      <c r="Q52" s="224"/>
    </row>
    <row r="53" spans="1:17">
      <c r="A53" s="206"/>
      <c r="B53" s="13"/>
      <c r="C53" s="12"/>
      <c r="D53" s="686" t="s">
        <v>641</v>
      </c>
      <c r="E53" s="687">
        <f t="shared" si="0"/>
        <v>316073.88</v>
      </c>
      <c r="F53" s="688">
        <f t="shared" si="2"/>
        <v>6.4158794070489928E-4</v>
      </c>
      <c r="G53" s="689">
        <f t="shared" si="1"/>
        <v>4</v>
      </c>
      <c r="H53" s="690">
        <f t="shared" si="3"/>
        <v>1.120605126768455E-4</v>
      </c>
      <c r="I53" s="199"/>
      <c r="K53" s="200"/>
      <c r="M53" s="223"/>
      <c r="N53" s="12"/>
      <c r="O53" s="224"/>
      <c r="P53" s="225"/>
      <c r="Q53" s="224"/>
    </row>
    <row r="54" spans="1:17" ht="13" thickBot="1">
      <c r="A54" s="206"/>
      <c r="B54" s="13"/>
      <c r="C54" s="12"/>
      <c r="D54" s="686" t="s">
        <v>783</v>
      </c>
      <c r="E54" s="687">
        <f t="shared" si="0"/>
        <v>683732.67</v>
      </c>
      <c r="F54" s="688">
        <f t="shared" si="2"/>
        <v>1.3878863882645491E-3</v>
      </c>
      <c r="G54" s="689">
        <f t="shared" si="1"/>
        <v>8</v>
      </c>
      <c r="H54" s="690">
        <f t="shared" si="3"/>
        <v>2.2412102535369099E-4</v>
      </c>
      <c r="I54" s="199"/>
      <c r="K54" s="200"/>
      <c r="M54" s="223"/>
      <c r="N54" s="12"/>
      <c r="O54" s="224"/>
      <c r="P54" s="225"/>
      <c r="Q54" s="224"/>
    </row>
    <row r="55" spans="1:17" ht="14" thickTop="1" thickBot="1">
      <c r="A55" s="206"/>
      <c r="B55" s="226"/>
      <c r="C55" s="227"/>
      <c r="D55" s="613" t="s">
        <v>36</v>
      </c>
      <c r="E55" s="922">
        <f>SUM(E14:E54)</f>
        <v>492643112.42000002</v>
      </c>
      <c r="F55" s="928">
        <f t="shared" ref="F55:H55" si="4">SUM(F14:F54)</f>
        <v>0.99999999999999989</v>
      </c>
      <c r="G55" s="988">
        <f t="shared" si="4"/>
        <v>35695</v>
      </c>
      <c r="H55" s="989">
        <f t="shared" si="4"/>
        <v>1.0000000000000002</v>
      </c>
      <c r="I55" s="199"/>
      <c r="J55" s="19"/>
      <c r="K55" s="200"/>
      <c r="M55" s="614"/>
      <c r="N55" s="615"/>
      <c r="O55" s="616"/>
      <c r="P55" s="617"/>
      <c r="Q55" s="616"/>
    </row>
    <row r="56" spans="1:17" ht="13">
      <c r="A56" s="206"/>
      <c r="B56" s="226"/>
      <c r="C56" s="227"/>
      <c r="D56" s="624"/>
      <c r="E56" s="625"/>
      <c r="F56" s="626"/>
      <c r="G56" s="617"/>
      <c r="H56" s="616"/>
      <c r="I56" s="199"/>
      <c r="J56" s="19"/>
      <c r="K56" s="200"/>
      <c r="M56" s="614"/>
      <c r="N56" s="615"/>
      <c r="O56" s="616"/>
      <c r="P56" s="617"/>
      <c r="Q56" s="616"/>
    </row>
    <row r="57" spans="1:17" ht="13">
      <c r="A57" s="206"/>
      <c r="B57" s="226"/>
      <c r="C57" s="227"/>
      <c r="D57" s="624"/>
      <c r="E57" s="625"/>
      <c r="F57" s="626"/>
      <c r="G57" s="617"/>
      <c r="H57" s="616"/>
      <c r="I57" s="199"/>
      <c r="J57" s="19"/>
      <c r="K57" s="200"/>
      <c r="M57" s="614"/>
      <c r="N57" s="615"/>
      <c r="O57" s="616"/>
      <c r="P57" s="617"/>
      <c r="Q57" s="616"/>
    </row>
    <row r="58" spans="1:17" ht="13.5" thickBot="1">
      <c r="A58" s="206"/>
      <c r="B58" s="226"/>
      <c r="C58" s="227"/>
      <c r="D58" s="591" t="s">
        <v>70</v>
      </c>
      <c r="E58" s="591" t="s">
        <v>60</v>
      </c>
      <c r="F58" s="618"/>
      <c r="G58" s="618"/>
      <c r="H58" s="618"/>
      <c r="I58" s="199"/>
      <c r="J58" s="19"/>
      <c r="K58" s="200"/>
      <c r="M58" s="528"/>
      <c r="N58" s="528"/>
      <c r="O58" s="226"/>
      <c r="P58" s="226"/>
      <c r="Q58" s="226"/>
    </row>
    <row r="59" spans="1:17" ht="13" thickBot="1">
      <c r="A59" s="206"/>
      <c r="B59" s="226"/>
      <c r="C59" s="227"/>
      <c r="D59" s="535" t="s">
        <v>61</v>
      </c>
      <c r="E59" s="910">
        <f>E55/G55</f>
        <v>13801.459936125508</v>
      </c>
      <c r="F59" s="618"/>
      <c r="G59" s="618"/>
      <c r="H59" s="618"/>
      <c r="I59" s="199"/>
      <c r="J59" s="19"/>
      <c r="K59" s="200"/>
      <c r="M59" s="230"/>
      <c r="N59" s="260"/>
      <c r="O59" s="226"/>
      <c r="P59" s="226"/>
      <c r="Q59" s="226"/>
    </row>
    <row r="60" spans="1:17">
      <c r="A60" s="206"/>
      <c r="B60" s="19"/>
      <c r="I60" s="517"/>
      <c r="J60" s="19"/>
      <c r="K60" s="200"/>
    </row>
    <row r="61" spans="1:17">
      <c r="A61" s="221"/>
      <c r="B61" s="54"/>
      <c r="C61" s="54"/>
      <c r="D61" s="54"/>
      <c r="E61" s="54"/>
      <c r="F61" s="54"/>
      <c r="G61" s="54"/>
      <c r="H61" s="54"/>
      <c r="I61" s="416"/>
      <c r="J61" s="54"/>
      <c r="K61" s="222"/>
    </row>
    <row r="62" spans="1:17">
      <c r="I62" s="517"/>
    </row>
    <row r="63" spans="1:17">
      <c r="I63" s="517"/>
    </row>
    <row r="64" spans="1:17">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row r="261" spans="9:9">
      <c r="I261" s="517"/>
    </row>
    <row r="262" spans="9:9">
      <c r="I262" s="517"/>
    </row>
    <row r="263" spans="9:9">
      <c r="I263" s="517"/>
    </row>
    <row r="264" spans="9:9">
      <c r="I264" s="517"/>
    </row>
    <row r="265" spans="9:9">
      <c r="I265" s="517"/>
    </row>
    <row r="266" spans="9:9">
      <c r="I266" s="517"/>
    </row>
    <row r="267" spans="9:9">
      <c r="I267" s="517"/>
    </row>
    <row r="268" spans="9:9">
      <c r="I268" s="517"/>
    </row>
    <row r="269" spans="9:9">
      <c r="I269" s="517"/>
    </row>
    <row r="270" spans="9:9">
      <c r="I270" s="517"/>
    </row>
    <row r="271" spans="9:9">
      <c r="I271" s="517"/>
    </row>
    <row r="272" spans="9:9">
      <c r="I272" s="517"/>
    </row>
    <row r="273" spans="9:9">
      <c r="I273" s="517"/>
    </row>
    <row r="274" spans="9:9">
      <c r="I274" s="517"/>
    </row>
    <row r="275" spans="9:9">
      <c r="I275" s="517"/>
    </row>
    <row r="276" spans="9:9">
      <c r="I276" s="517"/>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8164062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166</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453125" style="124" customWidth="1"/>
    <col min="4" max="4" width="18.81640625" style="124" customWidth="1"/>
    <col min="5" max="5" width="18" style="124" customWidth="1"/>
    <col min="6" max="6" width="18.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7.17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167</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23"/>
      <c r="E12" s="123"/>
      <c r="F12" s="19"/>
      <c r="G12" s="385"/>
      <c r="H12" s="385"/>
      <c r="I12" s="19"/>
      <c r="K12" s="139"/>
      <c r="M12" s="19"/>
      <c r="N12" s="19"/>
      <c r="O12" s="19"/>
      <c r="P12" s="386"/>
      <c r="Q12" s="386"/>
    </row>
    <row r="13" spans="1:17" s="105" customFormat="1" ht="29.25" customHeight="1" thickBot="1">
      <c r="A13" s="133"/>
      <c r="B13" s="515"/>
      <c r="C13" s="19"/>
      <c r="E13" s="502" t="s">
        <v>63</v>
      </c>
      <c r="F13" s="674" t="s">
        <v>72</v>
      </c>
      <c r="G13" s="503" t="s">
        <v>114</v>
      </c>
      <c r="H13" s="504" t="s">
        <v>62</v>
      </c>
      <c r="I13" s="199"/>
      <c r="K13" s="139"/>
      <c r="M13" s="675"/>
      <c r="N13" s="241"/>
      <c r="O13" s="241"/>
      <c r="P13" s="241"/>
      <c r="Q13" s="241"/>
    </row>
    <row r="14" spans="1:17" s="105" customFormat="1">
      <c r="A14" s="133"/>
      <c r="B14" s="198"/>
      <c r="C14" s="198"/>
      <c r="E14" s="676">
        <v>1</v>
      </c>
      <c r="F14" s="670">
        <f t="shared" ref="F14:F38" si="0">VLOOKUP(CONCATENATE("Borrower_",E14),Assets_Daten,3,0)</f>
        <v>101851.48</v>
      </c>
      <c r="G14" s="677">
        <f t="shared" ref="G14:G38" si="1">F14/VLOOKUP("Outstanding_eop_current",calcdata,2,0)</f>
        <v>2.0674495883983273E-4</v>
      </c>
      <c r="H14" s="678">
        <f t="shared" ref="H14:H38" si="2">VLOOKUP(CONCATENATE("Borrower_",E14),Assets_Daten,2,0)</f>
        <v>1</v>
      </c>
      <c r="I14" s="199"/>
      <c r="K14" s="139"/>
      <c r="M14" s="19"/>
      <c r="N14" s="509"/>
      <c r="O14" s="510"/>
      <c r="P14" s="393"/>
      <c r="Q14" s="19"/>
    </row>
    <row r="15" spans="1:17">
      <c r="A15" s="206"/>
      <c r="B15" s="13"/>
      <c r="C15" s="12"/>
      <c r="E15" s="676">
        <f>+E14+1</f>
        <v>2</v>
      </c>
      <c r="F15" s="670">
        <f t="shared" si="0"/>
        <v>87078.04</v>
      </c>
      <c r="G15" s="677">
        <f t="shared" si="1"/>
        <v>1.7675684040775164E-4</v>
      </c>
      <c r="H15" s="678">
        <f t="shared" si="2"/>
        <v>1</v>
      </c>
      <c r="I15" s="199"/>
      <c r="K15" s="200"/>
      <c r="N15" s="509"/>
      <c r="O15" s="510"/>
      <c r="P15" s="393"/>
    </row>
    <row r="16" spans="1:17">
      <c r="A16" s="206"/>
      <c r="B16" s="13"/>
      <c r="C16" s="12"/>
      <c r="E16" s="676">
        <f t="shared" ref="E16:E38" si="3">+E15+1</f>
        <v>3</v>
      </c>
      <c r="F16" s="670">
        <f t="shared" si="0"/>
        <v>84693.09</v>
      </c>
      <c r="G16" s="677">
        <f t="shared" si="1"/>
        <v>1.7191570909002254E-4</v>
      </c>
      <c r="H16" s="678">
        <f t="shared" si="2"/>
        <v>1</v>
      </c>
      <c r="I16" s="199"/>
      <c r="K16" s="200"/>
      <c r="N16" s="509"/>
      <c r="O16" s="510"/>
      <c r="P16" s="393"/>
    </row>
    <row r="17" spans="1:16">
      <c r="A17" s="206"/>
      <c r="B17" s="13"/>
      <c r="C17" s="12"/>
      <c r="E17" s="676">
        <f t="shared" si="3"/>
        <v>4</v>
      </c>
      <c r="F17" s="670">
        <f t="shared" si="0"/>
        <v>83492.52</v>
      </c>
      <c r="G17" s="677">
        <f t="shared" si="1"/>
        <v>1.6947871165773844E-4</v>
      </c>
      <c r="H17" s="678">
        <f t="shared" si="2"/>
        <v>1</v>
      </c>
      <c r="I17" s="199"/>
      <c r="K17" s="200"/>
      <c r="N17" s="509"/>
      <c r="O17" s="510"/>
      <c r="P17" s="393"/>
    </row>
    <row r="18" spans="1:16">
      <c r="A18" s="206"/>
      <c r="B18" s="13"/>
      <c r="C18" s="12"/>
      <c r="E18" s="676">
        <f t="shared" si="3"/>
        <v>5</v>
      </c>
      <c r="F18" s="670">
        <f t="shared" si="0"/>
        <v>83465.740000000005</v>
      </c>
      <c r="G18" s="677">
        <f t="shared" si="1"/>
        <v>1.6942435181929789E-4</v>
      </c>
      <c r="H18" s="678">
        <f t="shared" si="2"/>
        <v>1</v>
      </c>
      <c r="I18" s="199"/>
      <c r="K18" s="200"/>
      <c r="N18" s="509"/>
      <c r="O18" s="510"/>
      <c r="P18" s="393"/>
    </row>
    <row r="19" spans="1:16">
      <c r="A19" s="206"/>
      <c r="B19" s="13"/>
      <c r="C19" s="12"/>
      <c r="E19" s="676">
        <f t="shared" si="3"/>
        <v>6</v>
      </c>
      <c r="F19" s="670">
        <f t="shared" si="0"/>
        <v>81822.320000000007</v>
      </c>
      <c r="G19" s="677">
        <f t="shared" si="1"/>
        <v>1.6608842778307811E-4</v>
      </c>
      <c r="H19" s="678">
        <f t="shared" si="2"/>
        <v>1</v>
      </c>
      <c r="I19" s="199"/>
      <c r="K19" s="200"/>
      <c r="N19" s="509"/>
      <c r="O19" s="510"/>
      <c r="P19" s="393"/>
    </row>
    <row r="20" spans="1:16">
      <c r="A20" s="206"/>
      <c r="B20" s="13"/>
      <c r="C20" s="12"/>
      <c r="E20" s="676">
        <f t="shared" si="3"/>
        <v>7</v>
      </c>
      <c r="F20" s="670">
        <f t="shared" si="0"/>
        <v>81161.14</v>
      </c>
      <c r="G20" s="677">
        <f t="shared" si="1"/>
        <v>1.6474632031556049E-4</v>
      </c>
      <c r="H20" s="678">
        <f t="shared" si="2"/>
        <v>1</v>
      </c>
      <c r="I20" s="199"/>
      <c r="K20" s="200"/>
      <c r="N20" s="509"/>
      <c r="O20" s="510"/>
      <c r="P20" s="393"/>
    </row>
    <row r="21" spans="1:16">
      <c r="A21" s="206"/>
      <c r="B21" s="13"/>
      <c r="C21" s="12"/>
      <c r="E21" s="676">
        <f t="shared" si="3"/>
        <v>8</v>
      </c>
      <c r="F21" s="670">
        <f t="shared" si="0"/>
        <v>80168.34</v>
      </c>
      <c r="G21" s="677">
        <f t="shared" si="1"/>
        <v>1.6273106835126714E-4</v>
      </c>
      <c r="H21" s="678">
        <f t="shared" si="2"/>
        <v>1</v>
      </c>
      <c r="I21" s="199"/>
      <c r="K21" s="200"/>
      <c r="N21" s="509"/>
      <c r="O21" s="510"/>
      <c r="P21" s="393"/>
    </row>
    <row r="22" spans="1:16">
      <c r="A22" s="206"/>
      <c r="B22" s="13"/>
      <c r="C22" s="12"/>
      <c r="E22" s="676">
        <f t="shared" si="3"/>
        <v>9</v>
      </c>
      <c r="F22" s="670">
        <f t="shared" si="0"/>
        <v>79472.61</v>
      </c>
      <c r="G22" s="677">
        <f t="shared" si="1"/>
        <v>1.6131882897866658E-4</v>
      </c>
      <c r="H22" s="678">
        <f t="shared" si="2"/>
        <v>1</v>
      </c>
      <c r="I22" s="199"/>
      <c r="K22" s="200"/>
      <c r="N22" s="509"/>
      <c r="O22" s="510"/>
      <c r="P22" s="393"/>
    </row>
    <row r="23" spans="1:16">
      <c r="A23" s="206"/>
      <c r="B23" s="13"/>
      <c r="C23" s="12"/>
      <c r="E23" s="676">
        <f t="shared" si="3"/>
        <v>10</v>
      </c>
      <c r="F23" s="670">
        <f t="shared" si="0"/>
        <v>79293.88</v>
      </c>
      <c r="G23" s="677">
        <f t="shared" si="1"/>
        <v>1.6095603084855163E-4</v>
      </c>
      <c r="H23" s="678">
        <f t="shared" si="2"/>
        <v>1</v>
      </c>
      <c r="I23" s="199"/>
      <c r="K23" s="200"/>
      <c r="N23" s="509"/>
      <c r="O23" s="510"/>
      <c r="P23" s="393"/>
    </row>
    <row r="24" spans="1:16">
      <c r="A24" s="206"/>
      <c r="B24" s="13"/>
      <c r="C24" s="12"/>
      <c r="E24" s="676">
        <f t="shared" si="3"/>
        <v>11</v>
      </c>
      <c r="F24" s="670">
        <f t="shared" si="0"/>
        <v>79081.52</v>
      </c>
      <c r="G24" s="677">
        <f t="shared" si="1"/>
        <v>1.6052496829099989E-4</v>
      </c>
      <c r="H24" s="678">
        <f t="shared" si="2"/>
        <v>1</v>
      </c>
      <c r="I24" s="199"/>
      <c r="K24" s="200"/>
      <c r="N24" s="509"/>
      <c r="O24" s="510"/>
      <c r="P24" s="393"/>
    </row>
    <row r="25" spans="1:16">
      <c r="A25" s="206"/>
      <c r="B25" s="13"/>
      <c r="C25" s="12"/>
      <c r="E25" s="676">
        <f t="shared" si="3"/>
        <v>12</v>
      </c>
      <c r="F25" s="670">
        <f t="shared" si="0"/>
        <v>78225.87</v>
      </c>
      <c r="G25" s="677">
        <f t="shared" si="1"/>
        <v>1.5878811258668117E-4</v>
      </c>
      <c r="H25" s="678">
        <f t="shared" si="2"/>
        <v>1</v>
      </c>
      <c r="I25" s="199"/>
      <c r="K25" s="200"/>
      <c r="N25" s="509"/>
      <c r="O25" s="510"/>
      <c r="P25" s="393"/>
    </row>
    <row r="26" spans="1:16">
      <c r="A26" s="206"/>
      <c r="B26" s="13"/>
      <c r="C26" s="12"/>
      <c r="E26" s="676">
        <f t="shared" si="3"/>
        <v>13</v>
      </c>
      <c r="F26" s="670">
        <f t="shared" si="0"/>
        <v>77906.89</v>
      </c>
      <c r="G26" s="677">
        <f t="shared" si="1"/>
        <v>1.5814062560887064E-4</v>
      </c>
      <c r="H26" s="678">
        <f t="shared" si="2"/>
        <v>1</v>
      </c>
      <c r="I26" s="199"/>
      <c r="K26" s="200"/>
      <c r="N26" s="509"/>
      <c r="O26" s="510"/>
      <c r="P26" s="393"/>
    </row>
    <row r="27" spans="1:16">
      <c r="A27" s="206"/>
      <c r="B27" s="13"/>
      <c r="C27" s="12"/>
      <c r="E27" s="676">
        <f t="shared" si="3"/>
        <v>14</v>
      </c>
      <c r="F27" s="670">
        <f t="shared" si="0"/>
        <v>75985.05</v>
      </c>
      <c r="G27" s="677">
        <f t="shared" si="1"/>
        <v>1.5423954600063381E-4</v>
      </c>
      <c r="H27" s="678">
        <f t="shared" si="2"/>
        <v>1</v>
      </c>
      <c r="I27" s="199"/>
      <c r="K27" s="200"/>
      <c r="N27" s="509"/>
      <c r="O27" s="510"/>
      <c r="P27" s="393"/>
    </row>
    <row r="28" spans="1:16">
      <c r="A28" s="206"/>
      <c r="B28" s="13"/>
      <c r="C28" s="12"/>
      <c r="E28" s="676">
        <f t="shared" si="3"/>
        <v>15</v>
      </c>
      <c r="F28" s="670">
        <f t="shared" si="0"/>
        <v>75574.81</v>
      </c>
      <c r="G28" s="677">
        <f t="shared" si="1"/>
        <v>1.53406813359788E-4</v>
      </c>
      <c r="H28" s="678">
        <f t="shared" si="2"/>
        <v>1</v>
      </c>
      <c r="I28" s="199"/>
      <c r="K28" s="200"/>
      <c r="N28" s="509"/>
      <c r="O28" s="510"/>
      <c r="P28" s="393"/>
    </row>
    <row r="29" spans="1:16">
      <c r="A29" s="206"/>
      <c r="B29" s="13"/>
      <c r="C29" s="12"/>
      <c r="E29" s="676">
        <f t="shared" si="3"/>
        <v>16</v>
      </c>
      <c r="F29" s="670">
        <f t="shared" si="0"/>
        <v>75255.3</v>
      </c>
      <c r="G29" s="677">
        <f t="shared" si="1"/>
        <v>1.5275825055246391E-4</v>
      </c>
      <c r="H29" s="678">
        <f t="shared" si="2"/>
        <v>1</v>
      </c>
      <c r="I29" s="199"/>
      <c r="K29" s="200"/>
      <c r="N29" s="509"/>
      <c r="O29" s="510"/>
      <c r="P29" s="393"/>
    </row>
    <row r="30" spans="1:16">
      <c r="A30" s="206"/>
      <c r="B30" s="13"/>
      <c r="C30" s="12"/>
      <c r="E30" s="676">
        <f t="shared" si="3"/>
        <v>17</v>
      </c>
      <c r="F30" s="670">
        <f t="shared" si="0"/>
        <v>75226.850000000006</v>
      </c>
      <c r="G30" s="677">
        <f t="shared" si="1"/>
        <v>1.5270050083612211E-4</v>
      </c>
      <c r="H30" s="678">
        <f t="shared" si="2"/>
        <v>1</v>
      </c>
      <c r="I30" s="199"/>
      <c r="J30" s="199"/>
      <c r="K30" s="200"/>
      <c r="N30" s="509"/>
      <c r="O30" s="510"/>
      <c r="P30" s="393"/>
    </row>
    <row r="31" spans="1:16">
      <c r="A31" s="206"/>
      <c r="B31" s="13"/>
      <c r="C31" s="12"/>
      <c r="E31" s="676">
        <f t="shared" si="3"/>
        <v>18</v>
      </c>
      <c r="F31" s="670">
        <f t="shared" si="0"/>
        <v>74877.27</v>
      </c>
      <c r="G31" s="677">
        <f t="shared" si="1"/>
        <v>1.5199089992790527E-4</v>
      </c>
      <c r="H31" s="678">
        <f t="shared" si="2"/>
        <v>1</v>
      </c>
      <c r="I31" s="199"/>
      <c r="J31" s="199"/>
      <c r="K31" s="200"/>
      <c r="N31" s="509"/>
      <c r="O31" s="510"/>
      <c r="P31" s="393"/>
    </row>
    <row r="32" spans="1:16">
      <c r="A32" s="206"/>
      <c r="B32" s="13"/>
      <c r="C32" s="12"/>
      <c r="E32" s="676">
        <f t="shared" si="3"/>
        <v>19</v>
      </c>
      <c r="F32" s="670">
        <f t="shared" si="0"/>
        <v>74436.539999999994</v>
      </c>
      <c r="G32" s="677">
        <f t="shared" si="1"/>
        <v>1.5109627664202388E-4</v>
      </c>
      <c r="H32" s="678">
        <f t="shared" si="2"/>
        <v>1</v>
      </c>
      <c r="I32" s="199"/>
      <c r="J32" s="199"/>
      <c r="K32" s="200"/>
      <c r="N32" s="509"/>
      <c r="O32" s="510"/>
      <c r="P32" s="393"/>
    </row>
    <row r="33" spans="1:17">
      <c r="A33" s="206"/>
      <c r="B33" s="13"/>
      <c r="C33" s="12"/>
      <c r="E33" s="676">
        <f t="shared" si="3"/>
        <v>20</v>
      </c>
      <c r="F33" s="670">
        <f t="shared" si="0"/>
        <v>74074.77</v>
      </c>
      <c r="G33" s="677">
        <f t="shared" si="1"/>
        <v>1.5036193165499488E-4</v>
      </c>
      <c r="H33" s="678">
        <f t="shared" si="2"/>
        <v>2</v>
      </c>
      <c r="I33" s="199"/>
      <c r="J33" s="199"/>
      <c r="K33" s="200"/>
      <c r="N33" s="509"/>
      <c r="O33" s="510"/>
      <c r="P33" s="393"/>
    </row>
    <row r="34" spans="1:17">
      <c r="A34" s="206"/>
      <c r="B34" s="13"/>
      <c r="C34" s="12"/>
      <c r="E34" s="676">
        <f t="shared" si="3"/>
        <v>21</v>
      </c>
      <c r="F34" s="670">
        <f t="shared" si="0"/>
        <v>73797.48</v>
      </c>
      <c r="G34" s="677">
        <f t="shared" si="1"/>
        <v>1.4979906983269542E-4</v>
      </c>
      <c r="H34" s="678">
        <f t="shared" si="2"/>
        <v>1</v>
      </c>
      <c r="I34" s="199"/>
      <c r="J34" s="199"/>
      <c r="K34" s="200"/>
      <c r="N34" s="509"/>
      <c r="O34" s="510"/>
      <c r="P34" s="393"/>
    </row>
    <row r="35" spans="1:17">
      <c r="A35" s="206"/>
      <c r="B35" s="13"/>
      <c r="C35" s="12"/>
      <c r="E35" s="676">
        <f t="shared" si="3"/>
        <v>22</v>
      </c>
      <c r="F35" s="670">
        <f t="shared" si="0"/>
        <v>73787.259999999995</v>
      </c>
      <c r="G35" s="677">
        <f t="shared" si="1"/>
        <v>1.4977832459188651E-4</v>
      </c>
      <c r="H35" s="678">
        <f t="shared" si="2"/>
        <v>1</v>
      </c>
      <c r="I35" s="199"/>
      <c r="J35" s="199"/>
      <c r="K35" s="200"/>
      <c r="N35" s="509"/>
      <c r="O35" s="510"/>
      <c r="P35" s="393"/>
    </row>
    <row r="36" spans="1:17">
      <c r="A36" s="206"/>
      <c r="B36" s="13"/>
      <c r="C36" s="12"/>
      <c r="E36" s="676">
        <f t="shared" si="3"/>
        <v>23</v>
      </c>
      <c r="F36" s="670">
        <f t="shared" si="0"/>
        <v>73657.38</v>
      </c>
      <c r="G36" s="677">
        <f t="shared" si="1"/>
        <v>1.4951468546505088E-4</v>
      </c>
      <c r="H36" s="678">
        <f t="shared" si="2"/>
        <v>1</v>
      </c>
      <c r="I36" s="199"/>
      <c r="J36" s="199"/>
      <c r="K36" s="200"/>
      <c r="N36" s="509"/>
      <c r="O36" s="510"/>
      <c r="P36" s="393"/>
    </row>
    <row r="37" spans="1:17">
      <c r="A37" s="206"/>
      <c r="B37" s="13"/>
      <c r="C37" s="12"/>
      <c r="E37" s="676">
        <f t="shared" si="3"/>
        <v>24</v>
      </c>
      <c r="F37" s="670">
        <f t="shared" si="0"/>
        <v>73367.78</v>
      </c>
      <c r="G37" s="677">
        <f t="shared" si="1"/>
        <v>1.4892683597989841E-4</v>
      </c>
      <c r="H37" s="678">
        <f t="shared" si="2"/>
        <v>1</v>
      </c>
      <c r="I37" s="199"/>
      <c r="J37" s="199"/>
      <c r="K37" s="200"/>
      <c r="N37" s="509"/>
      <c r="O37" s="510"/>
      <c r="P37" s="393"/>
    </row>
    <row r="38" spans="1:17" ht="13" thickBot="1">
      <c r="A38" s="206"/>
      <c r="B38" s="13"/>
      <c r="C38" s="12"/>
      <c r="E38" s="679">
        <f t="shared" si="3"/>
        <v>25</v>
      </c>
      <c r="F38" s="680">
        <f t="shared" si="0"/>
        <v>72803.289999999994</v>
      </c>
      <c r="G38" s="681">
        <f t="shared" si="1"/>
        <v>1.4778099635326267E-4</v>
      </c>
      <c r="H38" s="682">
        <f t="shared" si="2"/>
        <v>1</v>
      </c>
      <c r="I38" s="199"/>
      <c r="J38" s="199"/>
      <c r="K38" s="200"/>
      <c r="N38" s="509"/>
      <c r="O38" s="510"/>
      <c r="P38" s="393"/>
    </row>
    <row r="39" spans="1:17" ht="14" thickTop="1" thickBot="1">
      <c r="A39" s="206"/>
      <c r="B39" s="13"/>
      <c r="C39" s="12"/>
      <c r="E39" s="683"/>
      <c r="F39" s="971">
        <f>SUM(F14:F38)</f>
        <v>1970557.2200000004</v>
      </c>
      <c r="G39" s="972">
        <f>SUM(G14:G38)</f>
        <v>3.9999690857750441E-3</v>
      </c>
      <c r="H39" s="973">
        <f>SUM(H14:H38)</f>
        <v>26</v>
      </c>
      <c r="I39" s="199"/>
      <c r="J39" s="199"/>
      <c r="K39" s="200"/>
      <c r="O39" s="529"/>
      <c r="P39" s="684"/>
      <c r="Q39" s="67"/>
    </row>
    <row r="40" spans="1:17">
      <c r="A40" s="206"/>
      <c r="B40" s="13"/>
      <c r="C40" s="12"/>
      <c r="D40" s="223"/>
      <c r="E40" s="12"/>
      <c r="F40" s="224"/>
      <c r="G40" s="225"/>
      <c r="H40" s="224"/>
      <c r="I40" s="199"/>
      <c r="J40" s="19"/>
      <c r="K40" s="200"/>
      <c r="M40" s="223"/>
      <c r="N40" s="12"/>
      <c r="O40" s="224"/>
      <c r="P40" s="225"/>
      <c r="Q40" s="224"/>
    </row>
    <row r="41" spans="1:17">
      <c r="A41" s="206"/>
      <c r="B41" s="13"/>
      <c r="C41" s="12"/>
      <c r="D41" s="223"/>
      <c r="E41" s="12"/>
      <c r="F41" s="224"/>
      <c r="G41" s="225"/>
      <c r="H41" s="224"/>
      <c r="I41" s="199"/>
      <c r="J41" s="19"/>
      <c r="K41" s="200"/>
      <c r="M41" s="223"/>
      <c r="N41" s="12"/>
      <c r="O41" s="224"/>
      <c r="P41" s="225"/>
      <c r="Q41" s="224"/>
    </row>
    <row r="42" spans="1:17">
      <c r="A42" s="206"/>
      <c r="B42" s="13"/>
      <c r="C42" s="12"/>
      <c r="D42" s="223"/>
      <c r="E42" s="12"/>
      <c r="F42" s="224"/>
      <c r="G42" s="225"/>
      <c r="H42" s="224"/>
      <c r="I42" s="199"/>
      <c r="J42" s="19"/>
      <c r="K42" s="200"/>
      <c r="M42" s="223"/>
      <c r="N42" s="12"/>
      <c r="O42" s="224"/>
      <c r="P42" s="225"/>
      <c r="Q42" s="224"/>
    </row>
    <row r="43" spans="1:17">
      <c r="A43" s="206"/>
      <c r="B43" s="13"/>
      <c r="C43" s="12"/>
      <c r="D43" s="223"/>
      <c r="E43" s="12"/>
      <c r="F43" s="224"/>
      <c r="G43" s="225"/>
      <c r="H43" s="224"/>
      <c r="I43" s="199"/>
      <c r="J43" s="19"/>
      <c r="K43" s="200"/>
      <c r="M43" s="223"/>
      <c r="N43" s="12"/>
      <c r="O43" s="224"/>
      <c r="P43" s="225"/>
      <c r="Q43" s="224"/>
    </row>
    <row r="44" spans="1:17">
      <c r="A44" s="206"/>
      <c r="B44" s="13"/>
      <c r="C44" s="12"/>
      <c r="D44" s="223"/>
      <c r="E44" s="12"/>
      <c r="F44" s="224"/>
      <c r="G44" s="225"/>
      <c r="H44" s="224"/>
      <c r="I44" s="199"/>
      <c r="J44" s="19"/>
      <c r="K44" s="200"/>
      <c r="M44" s="223"/>
      <c r="N44" s="12"/>
      <c r="O44" s="224"/>
      <c r="P44" s="225"/>
      <c r="Q44" s="224"/>
    </row>
    <row r="45" spans="1:17">
      <c r="A45" s="206"/>
      <c r="B45" s="13"/>
      <c r="C45" s="12"/>
      <c r="D45" s="223"/>
      <c r="E45" s="12"/>
      <c r="F45" s="224"/>
      <c r="G45" s="225"/>
      <c r="H45" s="224"/>
      <c r="I45" s="199"/>
      <c r="J45" s="19"/>
      <c r="K45" s="200"/>
      <c r="M45" s="223"/>
      <c r="N45" s="12"/>
      <c r="O45" s="224"/>
      <c r="P45" s="225"/>
      <c r="Q45" s="224"/>
    </row>
    <row r="46" spans="1:17">
      <c r="A46" s="206"/>
      <c r="B46" s="13"/>
      <c r="C46" s="12"/>
      <c r="D46" s="223"/>
      <c r="E46" s="12"/>
      <c r="F46" s="224"/>
      <c r="G46" s="225"/>
      <c r="H46" s="224"/>
      <c r="I46" s="199"/>
      <c r="J46" s="19"/>
      <c r="K46" s="200"/>
      <c r="M46" s="223"/>
      <c r="N46" s="12"/>
      <c r="O46" s="224"/>
      <c r="P46" s="225"/>
      <c r="Q46" s="224"/>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0.54296875" style="124" customWidth="1"/>
    <col min="4" max="4" width="30.1796875" style="124" bestFit="1"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143</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row>
    <row r="13" spans="1:17" s="105" customFormat="1" ht="29.5" thickBot="1">
      <c r="A13" s="133"/>
      <c r="B13" s="198"/>
      <c r="C13" s="198"/>
      <c r="D13" s="667" t="s">
        <v>64</v>
      </c>
      <c r="E13" s="668" t="s">
        <v>72</v>
      </c>
      <c r="F13" s="503" t="s">
        <v>114</v>
      </c>
      <c r="G13" s="503" t="s">
        <v>62</v>
      </c>
      <c r="H13" s="669" t="s">
        <v>115</v>
      </c>
      <c r="I13" s="199"/>
      <c r="K13" s="139"/>
    </row>
    <row r="14" spans="1:17">
      <c r="A14" s="206"/>
      <c r="B14" s="13"/>
      <c r="C14" s="12"/>
      <c r="D14" s="950" t="s">
        <v>792</v>
      </c>
      <c r="E14" s="670">
        <f t="shared" ref="E14:E30" si="0">VLOOKUP(CONCATENATE("geo_",D14),Assets_Daten,3,0)</f>
        <v>69010105.370000079</v>
      </c>
      <c r="F14" s="671">
        <f>E14/$E$31</f>
        <v>0.1400813360223454</v>
      </c>
      <c r="G14" s="672">
        <f t="shared" ref="G14:G30" si="1">VLOOKUP(CONCATENATE("geo_",D14),Assets_Daten,2,0)</f>
        <v>4601</v>
      </c>
      <c r="H14" s="673">
        <f>G14/$G$31</f>
        <v>0.12889760470654152</v>
      </c>
      <c r="I14" s="199"/>
      <c r="K14" s="200"/>
      <c r="M14" s="124"/>
      <c r="N14" s="124"/>
      <c r="O14" s="124"/>
      <c r="P14" s="124"/>
      <c r="Q14" s="124"/>
    </row>
    <row r="15" spans="1:17">
      <c r="A15" s="206"/>
      <c r="B15" s="13"/>
      <c r="C15" s="12"/>
      <c r="D15" s="950" t="s">
        <v>793</v>
      </c>
      <c r="E15" s="670">
        <f t="shared" si="0"/>
        <v>68025319.290000185</v>
      </c>
      <c r="F15" s="671">
        <f t="shared" ref="F15:F30" si="2">E15/$E$31</f>
        <v>0.13808235124985493</v>
      </c>
      <c r="G15" s="672">
        <f t="shared" si="1"/>
        <v>4712</v>
      </c>
      <c r="H15" s="673">
        <f t="shared" ref="H15:H30" si="3">G15/$G$31</f>
        <v>0.132007283933324</v>
      </c>
      <c r="I15" s="199"/>
      <c r="K15" s="200"/>
      <c r="M15" s="124"/>
      <c r="N15" s="124"/>
      <c r="O15" s="124"/>
      <c r="P15" s="124"/>
      <c r="Q15" s="124"/>
    </row>
    <row r="16" spans="1:17">
      <c r="A16" s="206"/>
      <c r="B16" s="13"/>
      <c r="C16" s="12"/>
      <c r="D16" s="950" t="s">
        <v>794</v>
      </c>
      <c r="E16" s="670">
        <f t="shared" si="0"/>
        <v>19575549.319999956</v>
      </c>
      <c r="F16" s="671">
        <f t="shared" si="2"/>
        <v>3.9735761703516809E-2</v>
      </c>
      <c r="G16" s="672">
        <f t="shared" si="1"/>
        <v>1371</v>
      </c>
      <c r="H16" s="673">
        <f t="shared" si="3"/>
        <v>3.8408740719988795E-2</v>
      </c>
      <c r="I16" s="199"/>
      <c r="K16" s="200"/>
      <c r="M16" s="124"/>
      <c r="N16" s="124"/>
      <c r="O16" s="124"/>
      <c r="P16" s="124"/>
      <c r="Q16" s="124"/>
    </row>
    <row r="17" spans="1:17">
      <c r="A17" s="206"/>
      <c r="B17" s="13"/>
      <c r="C17" s="12"/>
      <c r="D17" s="950" t="s">
        <v>795</v>
      </c>
      <c r="E17" s="670">
        <f t="shared" si="0"/>
        <v>18424884.099999964</v>
      </c>
      <c r="F17" s="671">
        <f t="shared" si="2"/>
        <v>3.7400064337633411E-2</v>
      </c>
      <c r="G17" s="672">
        <f t="shared" si="1"/>
        <v>1427</v>
      </c>
      <c r="H17" s="673">
        <f t="shared" si="3"/>
        <v>3.9977587897464632E-2</v>
      </c>
      <c r="I17" s="199"/>
      <c r="K17" s="200"/>
      <c r="M17" s="124"/>
      <c r="N17" s="124"/>
      <c r="O17" s="124"/>
      <c r="P17" s="124"/>
      <c r="Q17" s="124"/>
    </row>
    <row r="18" spans="1:17">
      <c r="A18" s="206"/>
      <c r="B18" s="13"/>
      <c r="C18" s="12"/>
      <c r="D18" s="950" t="s">
        <v>796</v>
      </c>
      <c r="E18" s="670">
        <f t="shared" si="0"/>
        <v>4391310.0100000026</v>
      </c>
      <c r="F18" s="671">
        <f t="shared" si="2"/>
        <v>8.913775305674462E-3</v>
      </c>
      <c r="G18" s="672">
        <f t="shared" si="1"/>
        <v>300</v>
      </c>
      <c r="H18" s="673">
        <f t="shared" si="3"/>
        <v>8.4045384507634123E-3</v>
      </c>
      <c r="I18" s="199"/>
      <c r="K18" s="200"/>
      <c r="M18" s="124"/>
      <c r="N18" s="124"/>
      <c r="O18" s="124"/>
      <c r="P18" s="124"/>
      <c r="Q18" s="124"/>
    </row>
    <row r="19" spans="1:17">
      <c r="A19" s="206"/>
      <c r="B19" s="13"/>
      <c r="C19" s="12"/>
      <c r="D19" s="950" t="s">
        <v>797</v>
      </c>
      <c r="E19" s="670">
        <f t="shared" si="0"/>
        <v>9245282.8599999994</v>
      </c>
      <c r="F19" s="671">
        <f t="shared" si="2"/>
        <v>1.876669464551042E-2</v>
      </c>
      <c r="G19" s="672">
        <f t="shared" si="1"/>
        <v>634</v>
      </c>
      <c r="H19" s="673">
        <f t="shared" si="3"/>
        <v>1.7761591259280011E-2</v>
      </c>
      <c r="I19" s="199"/>
      <c r="K19" s="200"/>
      <c r="M19" s="124"/>
      <c r="N19" s="124"/>
      <c r="O19" s="124"/>
      <c r="P19" s="124"/>
      <c r="Q19" s="124"/>
    </row>
    <row r="20" spans="1:17">
      <c r="A20" s="206"/>
      <c r="B20" s="13"/>
      <c r="C20" s="12"/>
      <c r="D20" s="950" t="s">
        <v>798</v>
      </c>
      <c r="E20" s="670">
        <f t="shared" si="0"/>
        <v>35690558.729999967</v>
      </c>
      <c r="F20" s="671">
        <f t="shared" si="2"/>
        <v>7.2447087618211142E-2</v>
      </c>
      <c r="G20" s="672">
        <f t="shared" si="1"/>
        <v>2487</v>
      </c>
      <c r="H20" s="673">
        <f t="shared" si="3"/>
        <v>6.9673623756828687E-2</v>
      </c>
      <c r="I20" s="199"/>
      <c r="K20" s="200"/>
      <c r="M20" s="124"/>
      <c r="N20" s="124"/>
      <c r="O20" s="124"/>
      <c r="P20" s="124"/>
      <c r="Q20" s="124"/>
    </row>
    <row r="21" spans="1:17">
      <c r="A21" s="206"/>
      <c r="B21" s="13"/>
      <c r="C21" s="12"/>
      <c r="D21" s="950" t="s">
        <v>799</v>
      </c>
      <c r="E21" s="670">
        <f t="shared" si="0"/>
        <v>51318754.940000094</v>
      </c>
      <c r="F21" s="671">
        <f t="shared" si="2"/>
        <v>0.10417024747977925</v>
      </c>
      <c r="G21" s="672">
        <f t="shared" si="1"/>
        <v>3676</v>
      </c>
      <c r="H21" s="673">
        <f t="shared" si="3"/>
        <v>0.10298361115002101</v>
      </c>
      <c r="I21" s="199"/>
      <c r="K21" s="200"/>
      <c r="M21" s="124"/>
      <c r="N21" s="124"/>
      <c r="O21" s="124"/>
      <c r="P21" s="124"/>
      <c r="Q21" s="124"/>
    </row>
    <row r="22" spans="1:17">
      <c r="A22" s="206"/>
      <c r="B22" s="13"/>
      <c r="C22" s="12"/>
      <c r="D22" s="950" t="s">
        <v>800</v>
      </c>
      <c r="E22" s="670">
        <f t="shared" si="0"/>
        <v>13531633.269999987</v>
      </c>
      <c r="F22" s="671">
        <f t="shared" si="2"/>
        <v>2.7467415922104024E-2</v>
      </c>
      <c r="G22" s="672">
        <f t="shared" si="1"/>
        <v>1057</v>
      </c>
      <c r="H22" s="673">
        <f t="shared" si="3"/>
        <v>2.9611990474856423E-2</v>
      </c>
      <c r="I22" s="199"/>
      <c r="K22" s="200"/>
      <c r="M22" s="124"/>
      <c r="N22" s="124"/>
      <c r="O22" s="124"/>
      <c r="P22" s="124"/>
      <c r="Q22" s="124"/>
    </row>
    <row r="23" spans="1:17">
      <c r="A23" s="206"/>
      <c r="B23" s="13"/>
      <c r="C23" s="12"/>
      <c r="D23" s="950" t="s">
        <v>801</v>
      </c>
      <c r="E23" s="670">
        <f t="shared" si="0"/>
        <v>105329445.21999975</v>
      </c>
      <c r="F23" s="671">
        <f t="shared" si="2"/>
        <v>0.21380476569050616</v>
      </c>
      <c r="G23" s="672">
        <f t="shared" si="1"/>
        <v>7782</v>
      </c>
      <c r="H23" s="673">
        <f t="shared" si="3"/>
        <v>0.21801372741280292</v>
      </c>
      <c r="I23" s="199"/>
      <c r="K23" s="200"/>
      <c r="M23" s="124"/>
      <c r="N23" s="124"/>
      <c r="O23" s="124"/>
      <c r="P23" s="124"/>
      <c r="Q23" s="124"/>
    </row>
    <row r="24" spans="1:17" ht="12.75" customHeight="1">
      <c r="A24" s="206"/>
      <c r="B24" s="13"/>
      <c r="C24" s="12"/>
      <c r="D24" s="950" t="s">
        <v>802</v>
      </c>
      <c r="E24" s="670">
        <f t="shared" si="0"/>
        <v>24674591.18999996</v>
      </c>
      <c r="F24" s="671">
        <f t="shared" si="2"/>
        <v>5.0086138561425353E-2</v>
      </c>
      <c r="G24" s="672">
        <f t="shared" si="1"/>
        <v>1799</v>
      </c>
      <c r="H24" s="673">
        <f t="shared" si="3"/>
        <v>5.0399215576411263E-2</v>
      </c>
      <c r="I24" s="199"/>
      <c r="K24" s="200"/>
      <c r="M24" s="124"/>
      <c r="N24" s="124"/>
      <c r="O24" s="124"/>
      <c r="P24" s="124"/>
      <c r="Q24" s="124"/>
    </row>
    <row r="25" spans="1:17">
      <c r="A25" s="206"/>
      <c r="B25" s="13"/>
      <c r="C25" s="12"/>
      <c r="D25" s="950" t="s">
        <v>803</v>
      </c>
      <c r="E25" s="670">
        <f t="shared" si="0"/>
        <v>6885953.0199999912</v>
      </c>
      <c r="F25" s="671">
        <f t="shared" si="2"/>
        <v>1.397756884527275E-2</v>
      </c>
      <c r="G25" s="672">
        <f t="shared" si="1"/>
        <v>515</v>
      </c>
      <c r="H25" s="673">
        <f t="shared" si="3"/>
        <v>1.4427791007143857E-2</v>
      </c>
      <c r="I25" s="199"/>
      <c r="K25" s="200"/>
      <c r="M25" s="124"/>
      <c r="N25" s="124"/>
      <c r="O25" s="124"/>
      <c r="P25" s="124"/>
      <c r="Q25" s="124"/>
    </row>
    <row r="26" spans="1:17">
      <c r="A26" s="206"/>
      <c r="B26" s="13"/>
      <c r="C26" s="12"/>
      <c r="D26" s="950" t="s">
        <v>820</v>
      </c>
      <c r="E26" s="670">
        <f t="shared" si="0"/>
        <v>19512437.249999933</v>
      </c>
      <c r="F26" s="671">
        <f t="shared" si="2"/>
        <v>3.9607652594896577E-2</v>
      </c>
      <c r="G26" s="672">
        <f t="shared" si="1"/>
        <v>1607</v>
      </c>
      <c r="H26" s="673">
        <f t="shared" si="3"/>
        <v>4.502031096792268E-2</v>
      </c>
      <c r="I26" s="199"/>
      <c r="K26" s="200"/>
      <c r="M26" s="124"/>
      <c r="N26" s="124"/>
      <c r="O26" s="124"/>
      <c r="P26" s="124"/>
      <c r="Q26" s="124"/>
    </row>
    <row r="27" spans="1:17">
      <c r="A27" s="206"/>
      <c r="B27" s="13"/>
      <c r="C27" s="12"/>
      <c r="D27" s="950" t="s">
        <v>804</v>
      </c>
      <c r="E27" s="670">
        <f t="shared" si="0"/>
        <v>15810666.230000025</v>
      </c>
      <c r="F27" s="671">
        <f t="shared" si="2"/>
        <v>3.2093549734885443E-2</v>
      </c>
      <c r="G27" s="672">
        <f t="shared" si="1"/>
        <v>1294</v>
      </c>
      <c r="H27" s="673">
        <f t="shared" si="3"/>
        <v>3.6251575850959519E-2</v>
      </c>
      <c r="I27" s="199"/>
      <c r="K27" s="200"/>
      <c r="M27" s="124"/>
      <c r="N27" s="124"/>
      <c r="O27" s="124"/>
      <c r="P27" s="124"/>
      <c r="Q27" s="124"/>
    </row>
    <row r="28" spans="1:17">
      <c r="A28" s="206"/>
      <c r="B28" s="13"/>
      <c r="C28" s="12"/>
      <c r="D28" s="950" t="s">
        <v>805</v>
      </c>
      <c r="E28" s="670">
        <f t="shared" si="0"/>
        <v>16432790.600000035</v>
      </c>
      <c r="F28" s="671">
        <f t="shared" si="2"/>
        <v>3.3356379467638558E-2</v>
      </c>
      <c r="G28" s="672">
        <f t="shared" si="1"/>
        <v>1298</v>
      </c>
      <c r="H28" s="673">
        <f t="shared" si="3"/>
        <v>3.6363636363636362E-2</v>
      </c>
      <c r="I28" s="199"/>
      <c r="K28" s="200"/>
      <c r="M28" s="124"/>
      <c r="N28" s="124"/>
      <c r="O28" s="124"/>
      <c r="P28" s="124"/>
      <c r="Q28" s="124"/>
    </row>
    <row r="29" spans="1:17">
      <c r="A29" s="206"/>
      <c r="B29" s="13"/>
      <c r="C29" s="12"/>
      <c r="D29" s="950" t="s">
        <v>806</v>
      </c>
      <c r="E29" s="670">
        <f t="shared" si="0"/>
        <v>13956341.820000011</v>
      </c>
      <c r="F29" s="671">
        <f t="shared" si="2"/>
        <v>2.8329517795230269E-2</v>
      </c>
      <c r="G29" s="672">
        <f t="shared" si="1"/>
        <v>1079</v>
      </c>
      <c r="H29" s="673">
        <f t="shared" si="3"/>
        <v>3.0228323294579074E-2</v>
      </c>
      <c r="I29" s="199"/>
      <c r="K29" s="200"/>
      <c r="M29" s="124"/>
      <c r="N29" s="124"/>
      <c r="O29" s="124"/>
      <c r="P29" s="124"/>
      <c r="Q29" s="124"/>
    </row>
    <row r="30" spans="1:17" ht="13" thickBot="1">
      <c r="A30" s="206"/>
      <c r="B30" s="13"/>
      <c r="C30" s="12"/>
      <c r="D30" s="950" t="s">
        <v>231</v>
      </c>
      <c r="E30" s="670">
        <f t="shared" si="0"/>
        <v>827489.20000000019</v>
      </c>
      <c r="F30" s="671">
        <f t="shared" si="2"/>
        <v>1.6796930255152526E-3</v>
      </c>
      <c r="G30" s="672">
        <f t="shared" si="1"/>
        <v>56</v>
      </c>
      <c r="H30" s="673">
        <f t="shared" si="3"/>
        <v>1.5688471774758369E-3</v>
      </c>
      <c r="I30" s="199"/>
      <c r="K30" s="200"/>
      <c r="M30" s="124"/>
      <c r="N30" s="124"/>
      <c r="O30" s="124"/>
      <c r="P30" s="124"/>
      <c r="Q30" s="124"/>
    </row>
    <row r="31" spans="1:17" ht="14" thickTop="1" thickBot="1">
      <c r="A31" s="206"/>
      <c r="B31" s="13"/>
      <c r="C31" s="12"/>
      <c r="D31" s="613" t="s">
        <v>36</v>
      </c>
      <c r="E31" s="922">
        <f>SUM(E14:E30)</f>
        <v>492643112.41999984</v>
      </c>
      <c r="F31" s="923">
        <f t="shared" ref="F31:H31" si="4">SUM(F14:F30)</f>
        <v>1</v>
      </c>
      <c r="G31" s="924">
        <f t="shared" si="4"/>
        <v>35695</v>
      </c>
      <c r="H31" s="925">
        <f t="shared" si="4"/>
        <v>0.99999999999999989</v>
      </c>
      <c r="I31" s="199"/>
      <c r="J31" s="199"/>
      <c r="K31" s="200"/>
      <c r="M31" s="124"/>
      <c r="N31" s="124"/>
      <c r="O31" s="124"/>
      <c r="P31" s="124"/>
      <c r="Q31" s="124"/>
    </row>
    <row r="32" spans="1:17">
      <c r="A32" s="206"/>
      <c r="B32" s="13"/>
      <c r="C32" s="12"/>
      <c r="D32" s="19"/>
      <c r="E32" s="509"/>
      <c r="F32" s="510"/>
      <c r="G32" s="393"/>
      <c r="H32" s="19"/>
      <c r="I32" s="199"/>
      <c r="J32" s="199"/>
      <c r="K32" s="200"/>
      <c r="N32" s="509"/>
      <c r="O32" s="510"/>
      <c r="P32" s="393"/>
    </row>
    <row r="33" spans="1:17">
      <c r="A33" s="206"/>
      <c r="B33" s="13"/>
      <c r="C33" s="12"/>
      <c r="D33" s="19"/>
      <c r="E33" s="509"/>
      <c r="F33" s="510"/>
      <c r="G33" s="393"/>
      <c r="H33" s="19"/>
      <c r="I33" s="199"/>
      <c r="J33" s="199"/>
      <c r="K33" s="200"/>
      <c r="N33" s="509"/>
      <c r="O33" s="510"/>
      <c r="P33" s="393"/>
    </row>
    <row r="34" spans="1:17">
      <c r="A34" s="206"/>
      <c r="B34" s="13"/>
      <c r="C34" s="12"/>
      <c r="D34" s="19"/>
      <c r="E34" s="509"/>
      <c r="F34" s="510"/>
      <c r="G34" s="393"/>
      <c r="H34" s="19"/>
      <c r="I34" s="199"/>
      <c r="J34" s="199"/>
      <c r="K34" s="200"/>
      <c r="N34" s="509"/>
      <c r="O34" s="510"/>
      <c r="P34" s="393"/>
    </row>
    <row r="35" spans="1:17">
      <c r="A35" s="206"/>
      <c r="B35" s="13"/>
      <c r="C35" s="12"/>
      <c r="D35" s="19"/>
      <c r="E35" s="509"/>
      <c r="F35" s="510"/>
      <c r="G35" s="393"/>
      <c r="H35" s="19"/>
      <c r="I35" s="199"/>
      <c r="J35" s="199"/>
      <c r="K35" s="200"/>
      <c r="N35" s="509"/>
      <c r="O35" s="510"/>
      <c r="P35" s="393"/>
    </row>
    <row r="36" spans="1:17">
      <c r="A36" s="206"/>
      <c r="B36" s="13"/>
      <c r="C36" s="12"/>
      <c r="D36" s="19"/>
      <c r="E36" s="509"/>
      <c r="F36" s="510"/>
      <c r="G36" s="393"/>
      <c r="H36" s="19"/>
      <c r="I36" s="199"/>
      <c r="J36" s="199"/>
      <c r="K36" s="200"/>
      <c r="N36" s="509"/>
      <c r="O36" s="510"/>
      <c r="P36" s="393"/>
    </row>
    <row r="37" spans="1:17">
      <c r="A37" s="206"/>
      <c r="B37" s="13"/>
      <c r="C37" s="12"/>
      <c r="D37" s="19"/>
      <c r="E37" s="509"/>
      <c r="F37" s="510"/>
      <c r="G37" s="393"/>
      <c r="H37" s="19"/>
      <c r="I37" s="199"/>
      <c r="J37" s="199"/>
      <c r="K37" s="200"/>
      <c r="N37" s="509"/>
      <c r="O37" s="510"/>
      <c r="P37" s="393"/>
    </row>
    <row r="38" spans="1:17">
      <c r="A38" s="206"/>
      <c r="B38" s="13"/>
      <c r="C38" s="12"/>
      <c r="D38" s="19"/>
      <c r="E38" s="509"/>
      <c r="F38" s="510"/>
      <c r="G38" s="393"/>
      <c r="H38" s="19"/>
      <c r="I38" s="199"/>
      <c r="J38" s="199"/>
      <c r="K38" s="200"/>
      <c r="N38" s="509"/>
      <c r="O38" s="510"/>
      <c r="P38" s="393"/>
    </row>
    <row r="39" spans="1:17">
      <c r="A39" s="206"/>
      <c r="B39" s="13"/>
      <c r="C39" s="12"/>
      <c r="D39" s="19"/>
      <c r="E39" s="509"/>
      <c r="F39" s="510"/>
      <c r="G39" s="393"/>
      <c r="H39" s="19"/>
      <c r="I39" s="199"/>
      <c r="J39" s="199"/>
      <c r="K39" s="200"/>
      <c r="N39" s="509"/>
      <c r="O39" s="510"/>
      <c r="P39" s="393"/>
    </row>
    <row r="40" spans="1:17">
      <c r="A40" s="206"/>
      <c r="B40" s="13"/>
      <c r="C40" s="12"/>
      <c r="D40" s="19"/>
      <c r="E40" s="509"/>
      <c r="F40" s="510"/>
      <c r="G40" s="393"/>
      <c r="H40" s="19"/>
      <c r="I40" s="199"/>
      <c r="J40" s="199"/>
      <c r="K40" s="200"/>
      <c r="N40" s="509"/>
      <c r="O40" s="510"/>
      <c r="P40" s="393"/>
    </row>
    <row r="41" spans="1:17">
      <c r="A41" s="206"/>
      <c r="B41" s="13"/>
      <c r="C41" s="12"/>
      <c r="D41" s="19"/>
      <c r="E41" s="509"/>
      <c r="F41" s="510"/>
      <c r="G41" s="393"/>
      <c r="H41" s="19"/>
      <c r="I41" s="199"/>
      <c r="J41" s="199"/>
      <c r="K41" s="200"/>
      <c r="N41" s="509"/>
      <c r="O41" s="510"/>
      <c r="P41" s="393"/>
    </row>
    <row r="42" spans="1:17">
      <c r="A42" s="206"/>
      <c r="B42" s="13"/>
      <c r="C42" s="12"/>
      <c r="D42" s="19"/>
      <c r="E42" s="509"/>
      <c r="F42" s="510"/>
      <c r="G42" s="393"/>
      <c r="H42" s="19"/>
      <c r="I42" s="199"/>
      <c r="J42" s="199"/>
      <c r="K42" s="200"/>
      <c r="N42" s="509"/>
      <c r="O42" s="510"/>
      <c r="P42" s="393"/>
    </row>
    <row r="43" spans="1:17">
      <c r="A43" s="206"/>
      <c r="B43" s="13"/>
      <c r="C43" s="12"/>
      <c r="D43" s="19"/>
      <c r="E43" s="509"/>
      <c r="F43" s="510"/>
      <c r="G43" s="393"/>
      <c r="H43" s="19"/>
      <c r="I43" s="199"/>
      <c r="J43" s="199"/>
      <c r="K43" s="200"/>
      <c r="N43" s="509"/>
      <c r="O43" s="510"/>
      <c r="P43" s="393"/>
    </row>
    <row r="44" spans="1:17">
      <c r="A44" s="206"/>
      <c r="B44" s="13"/>
      <c r="C44" s="12"/>
      <c r="D44" s="19"/>
      <c r="E44" s="509"/>
      <c r="F44" s="510"/>
      <c r="G44" s="393"/>
      <c r="H44" s="19"/>
      <c r="I44" s="199"/>
      <c r="J44" s="199"/>
      <c r="K44" s="200"/>
      <c r="N44" s="509"/>
      <c r="O44" s="510"/>
      <c r="P44" s="393"/>
    </row>
    <row r="45" spans="1:17">
      <c r="A45" s="206"/>
      <c r="B45" s="13"/>
      <c r="C45" s="12"/>
      <c r="D45" s="19"/>
      <c r="E45" s="509"/>
      <c r="F45" s="510"/>
      <c r="G45" s="393"/>
      <c r="H45" s="19"/>
      <c r="I45" s="199"/>
      <c r="J45" s="199"/>
      <c r="K45" s="200"/>
      <c r="N45" s="509"/>
      <c r="O45" s="510"/>
      <c r="P45" s="393"/>
    </row>
    <row r="46" spans="1:17">
      <c r="A46" s="206"/>
      <c r="B46" s="13"/>
      <c r="C46" s="12"/>
      <c r="D46" s="19"/>
      <c r="E46" s="509"/>
      <c r="F46" s="510"/>
      <c r="G46" s="393"/>
      <c r="H46" s="19"/>
      <c r="I46" s="199"/>
      <c r="J46" s="199"/>
      <c r="K46" s="200"/>
      <c r="N46" s="509"/>
      <c r="O46" s="510"/>
      <c r="P46" s="393"/>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144</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1796875" style="124" customWidth="1"/>
    <col min="4" max="4" width="18.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145</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c r="M12" s="19"/>
      <c r="N12" s="19"/>
      <c r="O12" s="19"/>
      <c r="P12" s="386"/>
      <c r="Q12" s="386"/>
    </row>
    <row r="13" spans="1:17" s="105" customFormat="1" ht="29">
      <c r="A13" s="133"/>
      <c r="B13" s="198"/>
      <c r="C13" s="198"/>
      <c r="D13" s="519" t="s">
        <v>100</v>
      </c>
      <c r="E13" s="552" t="s">
        <v>72</v>
      </c>
      <c r="F13" s="520" t="s">
        <v>114</v>
      </c>
      <c r="G13" s="521" t="s">
        <v>62</v>
      </c>
      <c r="H13" s="553" t="s">
        <v>115</v>
      </c>
      <c r="I13" s="199"/>
      <c r="K13" s="139"/>
      <c r="M13" s="240"/>
      <c r="N13" s="243"/>
      <c r="O13" s="241"/>
      <c r="P13" s="516"/>
      <c r="Q13" s="516"/>
    </row>
    <row r="14" spans="1:17" ht="13.5" customHeight="1">
      <c r="A14" s="206"/>
      <c r="B14" s="13"/>
      <c r="C14" s="12"/>
      <c r="D14" s="650" t="s">
        <v>642</v>
      </c>
      <c r="E14" s="651">
        <f>VLOOKUP(CONCATENATE("Collateral_",D14),Assets_Daten,3,0)</f>
        <v>6143682.8200000031</v>
      </c>
      <c r="F14" s="652">
        <f>E14/$E$16</f>
        <v>1.2470859056205102E-2</v>
      </c>
      <c r="G14" s="653">
        <f>VLOOKUP(CONCATENATE("Collateral_",D14),Assets_Daten,2,0)</f>
        <v>223</v>
      </c>
      <c r="H14" s="654">
        <f>G14/$G$16</f>
        <v>6.2473735817341362E-3</v>
      </c>
      <c r="I14" s="199"/>
      <c r="K14" s="200"/>
      <c r="M14" s="646"/>
      <c r="N14" s="647"/>
      <c r="O14" s="655"/>
      <c r="P14" s="656"/>
      <c r="Q14" s="648"/>
    </row>
    <row r="15" spans="1:17" ht="13" thickBot="1">
      <c r="A15" s="206"/>
      <c r="B15" s="13"/>
      <c r="C15" s="12"/>
      <c r="D15" s="657" t="s">
        <v>643</v>
      </c>
      <c r="E15" s="658">
        <f>VLOOKUP(CONCATENATE("Collateral_",D15),Assets_Daten,3,0)</f>
        <v>486499429.59999824</v>
      </c>
      <c r="F15" s="659">
        <f>E15/$E$16</f>
        <v>0.98752914094379496</v>
      </c>
      <c r="G15" s="660">
        <f>VLOOKUP(CONCATENATE("Collateral_",D15),Assets_Daten,2,0)</f>
        <v>35472</v>
      </c>
      <c r="H15" s="661">
        <f>G15/$G$16</f>
        <v>0.99375262641826589</v>
      </c>
      <c r="I15" s="199"/>
      <c r="K15" s="200"/>
      <c r="M15" s="646"/>
      <c r="N15" s="647"/>
      <c r="O15" s="655"/>
      <c r="P15" s="656"/>
      <c r="Q15" s="648"/>
    </row>
    <row r="16" spans="1:17" ht="14" thickTop="1" thickBot="1">
      <c r="A16" s="206"/>
      <c r="B16" s="13"/>
      <c r="C16" s="12"/>
      <c r="D16" s="547" t="s">
        <v>36</v>
      </c>
      <c r="E16" s="564">
        <f>SUM(E14:E15)</f>
        <v>492643112.41999823</v>
      </c>
      <c r="F16" s="926">
        <f t="shared" ref="F16:H16" si="0">SUM(F14:F15)</f>
        <v>1</v>
      </c>
      <c r="G16" s="566">
        <f t="shared" si="0"/>
        <v>35695</v>
      </c>
      <c r="H16" s="927">
        <f t="shared" si="0"/>
        <v>1</v>
      </c>
      <c r="I16" s="199"/>
      <c r="K16" s="200"/>
      <c r="M16" s="35"/>
      <c r="N16" s="529"/>
      <c r="O16" s="662"/>
      <c r="P16" s="531"/>
      <c r="Q16" s="586"/>
    </row>
    <row r="17" spans="1:17">
      <c r="A17" s="206"/>
      <c r="B17" s="13"/>
      <c r="C17" s="12"/>
      <c r="D17" s="105"/>
      <c r="E17" s="105"/>
      <c r="F17" s="105"/>
      <c r="G17" s="105"/>
      <c r="H17" s="105"/>
      <c r="I17" s="199"/>
      <c r="K17" s="200"/>
    </row>
    <row r="18" spans="1:17">
      <c r="A18" s="206"/>
      <c r="B18" s="13"/>
      <c r="C18" s="12"/>
      <c r="D18" s="105"/>
      <c r="E18" s="260"/>
      <c r="F18" s="105"/>
      <c r="G18" s="589"/>
      <c r="H18" s="105"/>
      <c r="I18" s="199"/>
      <c r="K18" s="200"/>
      <c r="N18" s="260"/>
      <c r="P18" s="590"/>
    </row>
    <row r="19" spans="1:17">
      <c r="A19" s="206"/>
      <c r="B19" s="13"/>
      <c r="C19" s="12"/>
      <c r="D19" s="105"/>
      <c r="E19" s="105"/>
      <c r="F19" s="105"/>
      <c r="G19" s="105"/>
      <c r="H19" s="105"/>
      <c r="I19" s="199"/>
      <c r="K19" s="200"/>
    </row>
    <row r="20" spans="1:17">
      <c r="A20" s="206"/>
      <c r="B20" s="13"/>
      <c r="C20" s="12"/>
      <c r="D20" s="105"/>
      <c r="E20" s="105"/>
      <c r="F20" s="105"/>
      <c r="G20" s="105"/>
      <c r="H20" s="105"/>
      <c r="I20" s="199"/>
      <c r="K20" s="200"/>
    </row>
    <row r="21" spans="1:17">
      <c r="A21" s="206"/>
      <c r="B21" s="13"/>
      <c r="C21" s="12"/>
      <c r="D21" s="105"/>
      <c r="E21" s="105"/>
      <c r="F21" s="105"/>
      <c r="G21" s="105"/>
      <c r="H21" s="105"/>
      <c r="I21" s="199"/>
      <c r="K21" s="200"/>
    </row>
    <row r="22" spans="1:17">
      <c r="A22" s="206"/>
      <c r="B22" s="13"/>
      <c r="C22" s="12"/>
      <c r="D22" s="105"/>
      <c r="E22" s="105"/>
      <c r="F22" s="105"/>
      <c r="G22" s="105"/>
      <c r="H22" s="105"/>
      <c r="I22" s="199"/>
      <c r="K22" s="200"/>
    </row>
    <row r="23" spans="1:17">
      <c r="A23" s="206"/>
      <c r="B23" s="13"/>
      <c r="C23" s="12"/>
      <c r="D23" s="105"/>
      <c r="E23" s="105"/>
      <c r="F23" s="105"/>
      <c r="G23" s="105"/>
      <c r="H23" s="105"/>
      <c r="I23" s="199"/>
      <c r="K23" s="200"/>
    </row>
    <row r="24" spans="1:17">
      <c r="A24" s="206"/>
      <c r="B24" s="13"/>
      <c r="C24" s="12"/>
      <c r="D24" s="105"/>
      <c r="E24" s="105"/>
      <c r="F24" s="105"/>
      <c r="G24" s="105"/>
      <c r="H24" s="105"/>
      <c r="I24" s="199"/>
      <c r="K24" s="200"/>
    </row>
    <row r="25" spans="1:17">
      <c r="A25" s="206"/>
      <c r="B25" s="13"/>
      <c r="C25" s="12"/>
      <c r="D25" s="105"/>
      <c r="E25" s="105"/>
      <c r="F25" s="105"/>
      <c r="G25" s="105"/>
      <c r="H25" s="105"/>
      <c r="I25" s="199"/>
      <c r="K25" s="200"/>
    </row>
    <row r="26" spans="1:17">
      <c r="A26" s="206"/>
      <c r="B26" s="13"/>
      <c r="C26" s="12"/>
      <c r="D26" s="105"/>
      <c r="E26" s="105"/>
      <c r="F26" s="105"/>
      <c r="G26" s="105"/>
      <c r="H26" s="105"/>
      <c r="I26" s="199"/>
      <c r="K26" s="200"/>
    </row>
    <row r="27" spans="1:17">
      <c r="A27" s="206"/>
      <c r="B27" s="13"/>
      <c r="C27" s="12"/>
      <c r="D27" s="105"/>
      <c r="E27" s="105"/>
      <c r="F27" s="105"/>
      <c r="G27" s="105"/>
      <c r="H27" s="105"/>
      <c r="I27" s="199"/>
      <c r="K27" s="200"/>
    </row>
    <row r="28" spans="1:17">
      <c r="A28" s="206"/>
      <c r="B28" s="13"/>
      <c r="C28" s="12"/>
      <c r="D28" s="663"/>
      <c r="E28" s="664"/>
      <c r="F28" s="665"/>
      <c r="G28" s="666"/>
      <c r="H28" s="665"/>
      <c r="I28" s="199"/>
      <c r="K28" s="200"/>
      <c r="M28" s="663"/>
      <c r="N28" s="664"/>
      <c r="O28" s="665"/>
      <c r="P28" s="666"/>
      <c r="Q28" s="665"/>
    </row>
    <row r="29" spans="1:17">
      <c r="A29" s="206"/>
      <c r="B29" s="13"/>
      <c r="C29" s="12"/>
      <c r="D29" s="663"/>
      <c r="E29" s="664"/>
      <c r="F29" s="665"/>
      <c r="G29" s="666"/>
      <c r="H29" s="665"/>
      <c r="I29" s="199"/>
      <c r="K29" s="200"/>
      <c r="M29" s="663"/>
      <c r="N29" s="664"/>
      <c r="O29" s="665"/>
      <c r="P29" s="666"/>
      <c r="Q29" s="665"/>
    </row>
    <row r="30" spans="1:17">
      <c r="A30" s="206"/>
      <c r="B30" s="13"/>
      <c r="C30" s="12"/>
      <c r="D30" s="663"/>
      <c r="E30" s="664"/>
      <c r="F30" s="665"/>
      <c r="G30" s="666"/>
      <c r="H30" s="665"/>
      <c r="I30" s="199"/>
      <c r="K30" s="200"/>
      <c r="M30" s="663"/>
      <c r="N30" s="664"/>
      <c r="O30" s="665"/>
      <c r="P30" s="666"/>
      <c r="Q30" s="665"/>
    </row>
    <row r="31" spans="1:17">
      <c r="A31" s="206"/>
      <c r="B31" s="13"/>
      <c r="C31" s="12"/>
      <c r="D31" s="663"/>
      <c r="E31" s="664"/>
      <c r="F31" s="665"/>
      <c r="G31" s="666"/>
      <c r="H31" s="665"/>
      <c r="I31" s="199"/>
      <c r="K31" s="200"/>
      <c r="M31" s="663"/>
      <c r="N31" s="664"/>
      <c r="O31" s="665"/>
      <c r="P31" s="666"/>
      <c r="Q31" s="665"/>
    </row>
    <row r="32" spans="1:17">
      <c r="A32" s="206"/>
      <c r="B32" s="13"/>
      <c r="C32" s="12"/>
      <c r="D32" s="663"/>
      <c r="E32" s="664"/>
      <c r="F32" s="665"/>
      <c r="G32" s="666"/>
      <c r="H32" s="665"/>
      <c r="I32" s="199"/>
      <c r="K32" s="200"/>
      <c r="M32" s="663"/>
      <c r="N32" s="664"/>
      <c r="O32" s="665"/>
      <c r="P32" s="666"/>
      <c r="Q32" s="665"/>
    </row>
    <row r="33" spans="1:17">
      <c r="A33" s="206"/>
      <c r="B33" s="13"/>
      <c r="C33" s="12"/>
      <c r="D33" s="663"/>
      <c r="E33" s="664"/>
      <c r="F33" s="665"/>
      <c r="G33" s="666"/>
      <c r="H33" s="665"/>
      <c r="I33" s="199"/>
      <c r="K33" s="200"/>
      <c r="M33" s="663"/>
      <c r="N33" s="664"/>
      <c r="O33" s="665"/>
      <c r="P33" s="666"/>
      <c r="Q33" s="665"/>
    </row>
    <row r="34" spans="1:17">
      <c r="A34" s="206"/>
      <c r="B34" s="13"/>
      <c r="C34" s="12"/>
      <c r="D34" s="663"/>
      <c r="E34" s="664"/>
      <c r="F34" s="665"/>
      <c r="G34" s="666"/>
      <c r="H34" s="665"/>
      <c r="I34" s="199"/>
      <c r="K34" s="200"/>
      <c r="M34" s="663"/>
      <c r="N34" s="664"/>
      <c r="O34" s="665"/>
      <c r="P34" s="666"/>
      <c r="Q34" s="665"/>
    </row>
    <row r="35" spans="1:17">
      <c r="A35" s="206"/>
      <c r="B35" s="13"/>
      <c r="C35" s="12"/>
      <c r="D35" s="663"/>
      <c r="E35" s="664"/>
      <c r="F35" s="665"/>
      <c r="G35" s="666"/>
      <c r="H35" s="665"/>
      <c r="I35" s="199"/>
      <c r="K35" s="200"/>
      <c r="M35" s="663"/>
      <c r="N35" s="664"/>
      <c r="O35" s="665"/>
      <c r="P35" s="666"/>
      <c r="Q35" s="665"/>
    </row>
    <row r="36" spans="1:17">
      <c r="A36" s="206"/>
      <c r="B36" s="13"/>
      <c r="C36" s="12"/>
      <c r="D36" s="663"/>
      <c r="E36" s="664"/>
      <c r="F36" s="665"/>
      <c r="G36" s="666"/>
      <c r="H36" s="665"/>
      <c r="I36" s="199"/>
      <c r="K36" s="200"/>
      <c r="M36" s="663"/>
      <c r="N36" s="664"/>
      <c r="O36" s="665"/>
      <c r="P36" s="666"/>
      <c r="Q36" s="665"/>
    </row>
    <row r="37" spans="1:17">
      <c r="A37" s="206"/>
      <c r="B37" s="13"/>
      <c r="C37" s="12"/>
      <c r="D37" s="663"/>
      <c r="E37" s="664"/>
      <c r="F37" s="665"/>
      <c r="G37" s="666"/>
      <c r="H37" s="665"/>
      <c r="I37" s="199"/>
      <c r="K37" s="200"/>
      <c r="M37" s="663"/>
      <c r="N37" s="664"/>
      <c r="O37" s="665"/>
      <c r="P37" s="666"/>
      <c r="Q37" s="665"/>
    </row>
    <row r="38" spans="1:17">
      <c r="A38" s="206"/>
      <c r="B38" s="13"/>
      <c r="C38" s="12"/>
      <c r="D38" s="663"/>
      <c r="E38" s="664"/>
      <c r="F38" s="665"/>
      <c r="G38" s="666"/>
      <c r="H38" s="665"/>
      <c r="I38" s="199"/>
      <c r="K38" s="200"/>
      <c r="M38" s="663"/>
      <c r="N38" s="664"/>
      <c r="O38" s="665"/>
      <c r="P38" s="666"/>
      <c r="Q38" s="665"/>
    </row>
    <row r="39" spans="1:17">
      <c r="A39" s="206"/>
      <c r="B39" s="13"/>
      <c r="C39" s="12"/>
      <c r="D39" s="663"/>
      <c r="E39" s="664"/>
      <c r="F39" s="665"/>
      <c r="G39" s="666"/>
      <c r="H39" s="665"/>
      <c r="I39" s="199"/>
      <c r="K39" s="200"/>
      <c r="M39" s="663"/>
      <c r="N39" s="664"/>
      <c r="O39" s="665"/>
      <c r="P39" s="666"/>
      <c r="Q39" s="665"/>
    </row>
    <row r="40" spans="1:17">
      <c r="A40" s="206"/>
      <c r="B40" s="13"/>
      <c r="C40" s="12"/>
      <c r="D40" s="663"/>
      <c r="E40" s="664"/>
      <c r="F40" s="665"/>
      <c r="G40" s="666"/>
      <c r="H40" s="665"/>
      <c r="I40" s="199"/>
      <c r="K40" s="200"/>
      <c r="M40" s="663"/>
      <c r="N40" s="664"/>
      <c r="O40" s="665"/>
      <c r="P40" s="666"/>
      <c r="Q40" s="665"/>
    </row>
    <row r="41" spans="1:17">
      <c r="A41" s="206"/>
      <c r="B41" s="13"/>
      <c r="C41" s="12"/>
      <c r="D41" s="663"/>
      <c r="E41" s="664"/>
      <c r="F41" s="665"/>
      <c r="G41" s="666"/>
      <c r="H41" s="665"/>
      <c r="I41" s="199"/>
      <c r="K41" s="200"/>
      <c r="M41" s="663"/>
      <c r="N41" s="664"/>
      <c r="O41" s="665"/>
      <c r="P41" s="666"/>
      <c r="Q41" s="665"/>
    </row>
    <row r="42" spans="1:17">
      <c r="A42" s="206"/>
      <c r="B42" s="13"/>
      <c r="C42" s="12"/>
      <c r="D42" s="663"/>
      <c r="E42" s="664"/>
      <c r="F42" s="665"/>
      <c r="G42" s="666"/>
      <c r="H42" s="665"/>
      <c r="I42" s="199"/>
      <c r="K42" s="200"/>
      <c r="M42" s="663"/>
      <c r="N42" s="664"/>
      <c r="O42" s="665"/>
      <c r="P42" s="666"/>
      <c r="Q42" s="665"/>
    </row>
    <row r="43" spans="1:17">
      <c r="A43" s="206"/>
      <c r="B43" s="13"/>
      <c r="C43" s="12"/>
      <c r="D43" s="663"/>
      <c r="E43" s="664"/>
      <c r="F43" s="665"/>
      <c r="G43" s="666"/>
      <c r="H43" s="665"/>
      <c r="I43" s="199"/>
      <c r="K43" s="200"/>
      <c r="M43" s="663"/>
      <c r="N43" s="664"/>
      <c r="O43" s="665"/>
      <c r="P43" s="666"/>
      <c r="Q43" s="665"/>
    </row>
    <row r="44" spans="1:17">
      <c r="A44" s="206"/>
      <c r="B44" s="13"/>
      <c r="C44" s="12"/>
      <c r="D44" s="663"/>
      <c r="E44" s="664"/>
      <c r="F44" s="665"/>
      <c r="G44" s="666"/>
      <c r="H44" s="665"/>
      <c r="I44" s="199"/>
      <c r="K44" s="200"/>
      <c r="M44" s="663"/>
      <c r="N44" s="664"/>
      <c r="O44" s="665"/>
      <c r="P44" s="666"/>
      <c r="Q44" s="665"/>
    </row>
    <row r="45" spans="1:17">
      <c r="A45" s="206"/>
      <c r="B45" s="13"/>
      <c r="C45" s="12"/>
      <c r="D45" s="663"/>
      <c r="E45" s="664"/>
      <c r="F45" s="665"/>
      <c r="G45" s="666"/>
      <c r="H45" s="665"/>
      <c r="I45" s="199"/>
      <c r="K45" s="200"/>
      <c r="M45" s="663"/>
      <c r="N45" s="664"/>
      <c r="O45" s="665"/>
      <c r="P45" s="666"/>
      <c r="Q45" s="665"/>
    </row>
    <row r="46" spans="1:17">
      <c r="A46" s="206"/>
      <c r="B46" s="13"/>
      <c r="C46" s="12"/>
      <c r="D46" s="663"/>
      <c r="E46" s="664"/>
      <c r="F46" s="665"/>
      <c r="G46" s="666"/>
      <c r="H46" s="665"/>
      <c r="I46" s="199"/>
      <c r="K46" s="200"/>
      <c r="M46" s="663"/>
      <c r="N46" s="664"/>
      <c r="O46" s="665"/>
      <c r="P46" s="666"/>
      <c r="Q46" s="665"/>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453125" style="124" customWidth="1"/>
    <col min="4" max="4" width="22.4531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146</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23"/>
      <c r="D12" s="19"/>
      <c r="E12" s="19"/>
      <c r="F12" s="19"/>
      <c r="G12" s="386"/>
      <c r="H12" s="386"/>
      <c r="I12" s="19"/>
      <c r="K12" s="139"/>
      <c r="M12" s="19"/>
      <c r="N12" s="19"/>
      <c r="O12" s="19"/>
      <c r="P12" s="386"/>
      <c r="Q12" s="386"/>
    </row>
    <row r="13" spans="1:17" s="105" customFormat="1" ht="29">
      <c r="A13" s="133"/>
      <c r="B13" s="198"/>
      <c r="C13" s="198"/>
      <c r="D13" s="519" t="s">
        <v>112</v>
      </c>
      <c r="E13" s="552" t="s">
        <v>95</v>
      </c>
      <c r="F13" s="520" t="s">
        <v>114</v>
      </c>
      <c r="G13" s="521" t="s">
        <v>62</v>
      </c>
      <c r="H13" s="553" t="s">
        <v>115</v>
      </c>
      <c r="I13" s="199"/>
      <c r="K13" s="139"/>
      <c r="M13" s="240"/>
      <c r="N13" s="243"/>
      <c r="O13" s="241"/>
      <c r="P13" s="516"/>
      <c r="Q13" s="516"/>
    </row>
    <row r="14" spans="1:17" ht="13.5" customHeight="1">
      <c r="A14" s="206"/>
      <c r="B14" s="13"/>
      <c r="C14" s="12"/>
      <c r="D14" s="629" t="s">
        <v>63</v>
      </c>
      <c r="E14" s="630">
        <f>VLOOKUP(CONCATENATE("Insurance_",D14),Assets_Daten,3,0)</f>
        <v>157405227.90999994</v>
      </c>
      <c r="F14" s="631">
        <f>E14/$E$16</f>
        <v>0.31951167882319859</v>
      </c>
      <c r="G14" s="632">
        <f>VLOOKUP(CONCATENATE("Insurance_",D14),Assets_Daten,2,0)</f>
        <v>13764</v>
      </c>
      <c r="H14" s="633">
        <f>G14/$G$16</f>
        <v>0.38560022412102535</v>
      </c>
      <c r="I14" s="199"/>
      <c r="K14" s="200"/>
      <c r="M14" s="634"/>
      <c r="N14" s="635"/>
      <c r="O14" s="636"/>
      <c r="P14" s="637"/>
      <c r="Q14" s="636"/>
    </row>
    <row r="15" spans="1:17" ht="13" thickBot="1">
      <c r="A15" s="206"/>
      <c r="B15" s="13"/>
      <c r="C15" s="12"/>
      <c r="D15" s="638" t="s">
        <v>644</v>
      </c>
      <c r="E15" s="639">
        <f>VLOOKUP(CONCATENATE("Insurance_",D15),Assets_Daten,3,0)</f>
        <v>335237884.50999999</v>
      </c>
      <c r="F15" s="631">
        <f>E15/$E$16</f>
        <v>0.68048832117680136</v>
      </c>
      <c r="G15" s="640">
        <f>VLOOKUP(CONCATENATE("Insurance_",D15),Assets_Daten,2,0)</f>
        <v>21931</v>
      </c>
      <c r="H15" s="633">
        <f>G15/$G$16</f>
        <v>0.61439977587897465</v>
      </c>
      <c r="I15" s="199"/>
      <c r="K15" s="200"/>
      <c r="M15" s="634"/>
      <c r="N15" s="635"/>
      <c r="O15" s="636"/>
      <c r="P15" s="637"/>
      <c r="Q15" s="636"/>
    </row>
    <row r="16" spans="1:17" ht="14" thickTop="1" thickBot="1">
      <c r="A16" s="206"/>
      <c r="B16" s="13"/>
      <c r="C16" s="12"/>
      <c r="D16" s="613" t="s">
        <v>36</v>
      </c>
      <c r="E16" s="922">
        <f>SUM(E14:E15)</f>
        <v>492643112.41999996</v>
      </c>
      <c r="F16" s="928">
        <f t="shared" ref="F16:H16" si="0">SUM(F14:F15)</f>
        <v>1</v>
      </c>
      <c r="G16" s="924">
        <f t="shared" si="0"/>
        <v>35695</v>
      </c>
      <c r="H16" s="929">
        <f t="shared" si="0"/>
        <v>1</v>
      </c>
      <c r="I16" s="199"/>
      <c r="K16" s="200"/>
      <c r="M16" s="614"/>
      <c r="N16" s="615"/>
      <c r="O16" s="616"/>
      <c r="P16" s="617"/>
      <c r="Q16" s="616"/>
    </row>
    <row r="17" spans="1:17">
      <c r="A17" s="206"/>
      <c r="B17" s="13"/>
      <c r="C17" s="12"/>
      <c r="D17" s="641"/>
      <c r="E17" s="642"/>
      <c r="F17" s="643"/>
      <c r="G17" s="644"/>
      <c r="H17" s="643"/>
      <c r="I17" s="199"/>
      <c r="K17" s="200"/>
      <c r="M17" s="226"/>
      <c r="N17" s="227"/>
      <c r="O17" s="645"/>
      <c r="P17" s="229"/>
      <c r="Q17" s="645"/>
    </row>
    <row r="18" spans="1:17">
      <c r="A18" s="206"/>
      <c r="B18" s="13"/>
      <c r="C18" s="12"/>
      <c r="D18" s="641"/>
      <c r="E18" s="642"/>
      <c r="F18" s="643"/>
      <c r="G18" s="644"/>
      <c r="H18" s="643"/>
      <c r="I18" s="199"/>
      <c r="K18" s="200"/>
      <c r="M18" s="226"/>
      <c r="N18" s="227"/>
      <c r="O18" s="645"/>
      <c r="P18" s="229"/>
      <c r="Q18" s="645"/>
    </row>
    <row r="19" spans="1:17">
      <c r="A19" s="206"/>
      <c r="B19" s="13"/>
      <c r="C19" s="12"/>
      <c r="D19" s="641"/>
      <c r="E19" s="642"/>
      <c r="F19" s="643"/>
      <c r="G19" s="644"/>
      <c r="H19" s="643"/>
      <c r="I19" s="199"/>
      <c r="K19" s="200"/>
      <c r="M19" s="226"/>
      <c r="N19" s="227"/>
      <c r="O19" s="645"/>
      <c r="P19" s="229"/>
      <c r="Q19" s="645"/>
    </row>
    <row r="20" spans="1:17">
      <c r="A20" s="206"/>
      <c r="B20" s="13"/>
      <c r="C20" s="12"/>
      <c r="D20" s="641"/>
      <c r="E20" s="642"/>
      <c r="F20" s="643"/>
      <c r="G20" s="644"/>
      <c r="H20" s="643"/>
      <c r="I20" s="199"/>
      <c r="K20" s="200"/>
      <c r="M20" s="226"/>
      <c r="N20" s="227"/>
      <c r="O20" s="645"/>
      <c r="P20" s="229"/>
      <c r="Q20" s="645"/>
    </row>
    <row r="21" spans="1:17">
      <c r="A21" s="206"/>
      <c r="B21" s="13"/>
      <c r="C21" s="12"/>
      <c r="D21" s="123"/>
      <c r="E21" s="642"/>
      <c r="F21" s="643"/>
      <c r="G21" s="644"/>
      <c r="H21" s="643"/>
      <c r="I21" s="199"/>
      <c r="K21" s="200"/>
      <c r="M21" s="226"/>
      <c r="N21" s="227"/>
      <c r="O21" s="645"/>
      <c r="P21" s="229"/>
      <c r="Q21" s="645"/>
    </row>
    <row r="22" spans="1:17">
      <c r="A22" s="206"/>
      <c r="B22" s="13"/>
      <c r="C22" s="12"/>
      <c r="D22" s="641"/>
      <c r="E22" s="642"/>
      <c r="F22" s="643"/>
      <c r="G22" s="644"/>
      <c r="H22" s="643"/>
      <c r="I22" s="199"/>
      <c r="K22" s="200"/>
      <c r="M22" s="226"/>
      <c r="N22" s="227"/>
      <c r="O22" s="645"/>
      <c r="P22" s="229"/>
      <c r="Q22" s="645"/>
    </row>
    <row r="23" spans="1:17">
      <c r="A23" s="206"/>
      <c r="B23" s="13"/>
      <c r="C23" s="12"/>
      <c r="D23" s="641"/>
      <c r="E23" s="642"/>
      <c r="F23" s="643"/>
      <c r="G23" s="644"/>
      <c r="H23" s="643"/>
      <c r="I23" s="199"/>
      <c r="K23" s="200"/>
      <c r="M23" s="226"/>
      <c r="N23" s="227"/>
      <c r="O23" s="645"/>
      <c r="P23" s="229"/>
      <c r="Q23" s="645"/>
    </row>
    <row r="24" spans="1:17">
      <c r="A24" s="206"/>
      <c r="B24" s="13"/>
      <c r="C24" s="12"/>
      <c r="D24" s="641"/>
      <c r="E24" s="642"/>
      <c r="F24" s="643"/>
      <c r="G24" s="644"/>
      <c r="H24" s="643"/>
      <c r="I24" s="199"/>
      <c r="K24" s="200"/>
      <c r="M24" s="226"/>
      <c r="N24" s="227"/>
      <c r="O24" s="645"/>
      <c r="P24" s="229"/>
      <c r="Q24" s="645"/>
    </row>
    <row r="25" spans="1:17">
      <c r="A25" s="206"/>
      <c r="B25" s="13"/>
      <c r="C25" s="12"/>
      <c r="D25" s="646"/>
      <c r="E25" s="647"/>
      <c r="F25" s="648"/>
      <c r="G25" s="649"/>
      <c r="H25" s="648"/>
      <c r="I25" s="199"/>
      <c r="K25" s="200"/>
      <c r="M25" s="646"/>
      <c r="N25" s="647"/>
      <c r="O25" s="648"/>
      <c r="P25" s="649"/>
      <c r="Q25" s="648"/>
    </row>
    <row r="26" spans="1:17">
      <c r="A26" s="206"/>
      <c r="B26" s="13"/>
      <c r="C26" s="12"/>
      <c r="D26" s="646"/>
      <c r="E26" s="647"/>
      <c r="F26" s="648"/>
      <c r="G26" s="649"/>
      <c r="H26" s="648"/>
      <c r="I26" s="199"/>
      <c r="K26" s="200"/>
      <c r="M26" s="646"/>
      <c r="N26" s="647"/>
      <c r="O26" s="648"/>
      <c r="P26" s="649"/>
      <c r="Q26" s="648"/>
    </row>
    <row r="27" spans="1:17">
      <c r="A27" s="206"/>
      <c r="B27" s="13"/>
      <c r="C27" s="12"/>
      <c r="D27" s="646"/>
      <c r="E27" s="647"/>
      <c r="F27" s="648"/>
      <c r="G27" s="649"/>
      <c r="H27" s="648"/>
      <c r="I27" s="199"/>
      <c r="K27" s="200"/>
      <c r="M27" s="646"/>
      <c r="N27" s="647"/>
      <c r="O27" s="648"/>
      <c r="P27" s="649"/>
      <c r="Q27" s="648"/>
    </row>
    <row r="28" spans="1:17">
      <c r="A28" s="206"/>
      <c r="B28" s="13"/>
      <c r="C28" s="12"/>
      <c r="D28" s="646"/>
      <c r="E28" s="647"/>
      <c r="F28" s="648"/>
      <c r="G28" s="649"/>
      <c r="H28" s="648"/>
      <c r="I28" s="199"/>
      <c r="K28" s="200"/>
      <c r="M28" s="646"/>
      <c r="N28" s="647"/>
      <c r="O28" s="648"/>
      <c r="P28" s="649"/>
      <c r="Q28" s="648"/>
    </row>
    <row r="29" spans="1:17">
      <c r="A29" s="206"/>
      <c r="B29" s="13"/>
      <c r="C29" s="12"/>
      <c r="D29" s="646"/>
      <c r="E29" s="647"/>
      <c r="F29" s="648"/>
      <c r="G29" s="649"/>
      <c r="H29" s="648"/>
      <c r="I29" s="199"/>
      <c r="K29" s="200"/>
      <c r="M29" s="646"/>
      <c r="N29" s="647"/>
      <c r="O29" s="648"/>
      <c r="P29" s="649"/>
      <c r="Q29" s="648"/>
    </row>
    <row r="30" spans="1:17">
      <c r="A30" s="206"/>
      <c r="B30" s="13"/>
      <c r="C30" s="12"/>
      <c r="D30" s="646"/>
      <c r="E30" s="647"/>
      <c r="F30" s="648"/>
      <c r="G30" s="649"/>
      <c r="H30" s="648"/>
      <c r="I30" s="199"/>
      <c r="K30" s="200"/>
      <c r="M30" s="646"/>
      <c r="N30" s="647"/>
      <c r="O30" s="648"/>
      <c r="P30" s="649"/>
      <c r="Q30" s="648"/>
    </row>
    <row r="31" spans="1:17">
      <c r="A31" s="206"/>
      <c r="B31" s="13"/>
      <c r="C31" s="12"/>
      <c r="D31" s="646"/>
      <c r="E31" s="647"/>
      <c r="F31" s="648"/>
      <c r="G31" s="649"/>
      <c r="H31" s="648"/>
      <c r="I31" s="199"/>
      <c r="K31" s="200"/>
      <c r="M31" s="646"/>
      <c r="N31" s="647"/>
      <c r="O31" s="648"/>
      <c r="P31" s="649"/>
      <c r="Q31" s="648"/>
    </row>
    <row r="32" spans="1:17">
      <c r="A32" s="206"/>
      <c r="B32" s="13"/>
      <c r="C32" s="12"/>
      <c r="D32" s="646"/>
      <c r="E32" s="647"/>
      <c r="F32" s="648"/>
      <c r="G32" s="649"/>
      <c r="H32" s="648"/>
      <c r="I32" s="199"/>
      <c r="K32" s="200"/>
      <c r="M32" s="646"/>
      <c r="N32" s="647"/>
      <c r="O32" s="648"/>
      <c r="P32" s="649"/>
      <c r="Q32" s="648"/>
    </row>
    <row r="33" spans="1:17">
      <c r="A33" s="206"/>
      <c r="B33" s="13"/>
      <c r="C33" s="12"/>
      <c r="D33" s="646"/>
      <c r="E33" s="647"/>
      <c r="F33" s="648"/>
      <c r="G33" s="649"/>
      <c r="H33" s="648"/>
      <c r="I33" s="199"/>
      <c r="K33" s="200"/>
      <c r="M33" s="646"/>
      <c r="N33" s="647"/>
      <c r="O33" s="648"/>
      <c r="P33" s="649"/>
      <c r="Q33" s="648"/>
    </row>
    <row r="34" spans="1:17">
      <c r="A34" s="206"/>
      <c r="B34" s="13"/>
      <c r="C34" s="12"/>
      <c r="D34" s="646"/>
      <c r="E34" s="647"/>
      <c r="F34" s="648"/>
      <c r="G34" s="649"/>
      <c r="H34" s="648"/>
      <c r="I34" s="199"/>
      <c r="K34" s="200"/>
      <c r="M34" s="646"/>
      <c r="N34" s="647"/>
      <c r="O34" s="648"/>
      <c r="P34" s="649"/>
      <c r="Q34" s="648"/>
    </row>
    <row r="35" spans="1:17">
      <c r="A35" s="206"/>
      <c r="B35" s="13"/>
      <c r="C35" s="12"/>
      <c r="D35" s="646"/>
      <c r="E35" s="647"/>
      <c r="F35" s="648"/>
      <c r="G35" s="649"/>
      <c r="H35" s="648"/>
      <c r="I35" s="199"/>
      <c r="K35" s="200"/>
      <c r="M35" s="646"/>
      <c r="N35" s="647"/>
      <c r="O35" s="648"/>
      <c r="P35" s="649"/>
      <c r="Q35" s="648"/>
    </row>
    <row r="36" spans="1:17">
      <c r="A36" s="206"/>
      <c r="B36" s="13"/>
      <c r="C36" s="12"/>
      <c r="D36" s="646"/>
      <c r="E36" s="647"/>
      <c r="F36" s="648"/>
      <c r="G36" s="649"/>
      <c r="H36" s="648"/>
      <c r="I36" s="199"/>
      <c r="K36" s="200"/>
      <c r="M36" s="646"/>
      <c r="N36" s="647"/>
      <c r="O36" s="648"/>
      <c r="P36" s="649"/>
      <c r="Q36" s="648"/>
    </row>
    <row r="37" spans="1:17">
      <c r="A37" s="206"/>
      <c r="B37" s="13"/>
      <c r="C37" s="12"/>
      <c r="D37" s="646"/>
      <c r="E37" s="647"/>
      <c r="F37" s="648"/>
      <c r="G37" s="649"/>
      <c r="H37" s="648"/>
      <c r="I37" s="199"/>
      <c r="K37" s="200"/>
      <c r="M37" s="646"/>
      <c r="N37" s="647"/>
      <c r="O37" s="648"/>
      <c r="P37" s="649"/>
      <c r="Q37" s="648"/>
    </row>
    <row r="38" spans="1:17">
      <c r="A38" s="206"/>
      <c r="B38" s="13"/>
      <c r="C38" s="12"/>
      <c r="D38" s="646"/>
      <c r="E38" s="647"/>
      <c r="F38" s="648"/>
      <c r="G38" s="649"/>
      <c r="H38" s="648"/>
      <c r="I38" s="199"/>
      <c r="K38" s="200"/>
      <c r="M38" s="646"/>
      <c r="N38" s="647"/>
      <c r="O38" s="648"/>
      <c r="P38" s="649"/>
      <c r="Q38" s="648"/>
    </row>
    <row r="39" spans="1:17">
      <c r="A39" s="206"/>
      <c r="B39" s="13"/>
      <c r="C39" s="12"/>
      <c r="D39" s="646"/>
      <c r="E39" s="647"/>
      <c r="F39" s="648"/>
      <c r="G39" s="649"/>
      <c r="H39" s="648"/>
      <c r="I39" s="199"/>
      <c r="K39" s="200"/>
      <c r="M39" s="646"/>
      <c r="N39" s="647"/>
      <c r="O39" s="648"/>
      <c r="P39" s="649"/>
      <c r="Q39" s="648"/>
    </row>
    <row r="40" spans="1:17">
      <c r="A40" s="206"/>
      <c r="B40" s="13"/>
      <c r="C40" s="12"/>
      <c r="D40" s="646"/>
      <c r="E40" s="647"/>
      <c r="F40" s="648"/>
      <c r="G40" s="649"/>
      <c r="H40" s="648"/>
      <c r="I40" s="199"/>
      <c r="K40" s="200"/>
      <c r="M40" s="646"/>
      <c r="N40" s="647"/>
      <c r="O40" s="648"/>
      <c r="P40" s="649"/>
      <c r="Q40" s="648"/>
    </row>
    <row r="41" spans="1:17">
      <c r="A41" s="206"/>
      <c r="B41" s="13"/>
      <c r="C41" s="12"/>
      <c r="D41" s="646"/>
      <c r="E41" s="647"/>
      <c r="F41" s="648"/>
      <c r="G41" s="649"/>
      <c r="H41" s="648"/>
      <c r="I41" s="199"/>
      <c r="K41" s="200"/>
      <c r="M41" s="646"/>
      <c r="N41" s="647"/>
      <c r="O41" s="648"/>
      <c r="P41" s="649"/>
      <c r="Q41" s="648"/>
    </row>
    <row r="42" spans="1:17">
      <c r="A42" s="206"/>
      <c r="B42" s="13"/>
      <c r="C42" s="12"/>
      <c r="D42" s="646"/>
      <c r="E42" s="647"/>
      <c r="F42" s="648"/>
      <c r="G42" s="649"/>
      <c r="H42" s="648"/>
      <c r="I42" s="199"/>
      <c r="K42" s="200"/>
      <c r="M42" s="646"/>
      <c r="N42" s="647"/>
      <c r="O42" s="648"/>
      <c r="P42" s="649"/>
      <c r="Q42" s="648"/>
    </row>
    <row r="43" spans="1:17">
      <c r="A43" s="206"/>
      <c r="B43" s="13"/>
      <c r="C43" s="12"/>
      <c r="D43" s="646"/>
      <c r="E43" s="647"/>
      <c r="F43" s="648"/>
      <c r="G43" s="649"/>
      <c r="H43" s="648"/>
      <c r="I43" s="199"/>
      <c r="K43" s="200"/>
      <c r="M43" s="646"/>
      <c r="N43" s="647"/>
      <c r="O43" s="648"/>
      <c r="P43" s="649"/>
      <c r="Q43" s="648"/>
    </row>
    <row r="44" spans="1:17">
      <c r="A44" s="206"/>
      <c r="B44" s="13"/>
      <c r="C44" s="12"/>
      <c r="D44" s="646"/>
      <c r="E44" s="647"/>
      <c r="F44" s="648"/>
      <c r="G44" s="649"/>
      <c r="H44" s="648"/>
      <c r="I44" s="199"/>
      <c r="K44" s="200"/>
      <c r="M44" s="646"/>
      <c r="N44" s="647"/>
      <c r="O44" s="648"/>
      <c r="P44" s="649"/>
      <c r="Q44" s="648"/>
    </row>
    <row r="45" spans="1:17">
      <c r="A45" s="206"/>
      <c r="B45" s="13"/>
      <c r="C45" s="12"/>
      <c r="D45" s="646"/>
      <c r="E45" s="647"/>
      <c r="F45" s="648"/>
      <c r="G45" s="649"/>
      <c r="H45" s="648"/>
      <c r="I45" s="199"/>
      <c r="K45" s="200"/>
      <c r="M45" s="646"/>
      <c r="N45" s="647"/>
      <c r="O45" s="648"/>
      <c r="P45" s="649"/>
      <c r="Q45" s="648"/>
    </row>
    <row r="46" spans="1:17">
      <c r="A46" s="206"/>
      <c r="B46" s="13"/>
      <c r="C46" s="12"/>
      <c r="D46" s="646"/>
      <c r="E46" s="647"/>
      <c r="F46" s="648"/>
      <c r="G46" s="649"/>
      <c r="H46" s="648"/>
      <c r="I46" s="199"/>
      <c r="K46" s="200"/>
      <c r="M46" s="646"/>
      <c r="N46" s="647"/>
      <c r="O46" s="648"/>
      <c r="P46" s="649"/>
      <c r="Q46" s="648"/>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05" customWidth="1"/>
    <col min="2" max="2" width="50.81640625" style="105" customWidth="1"/>
    <col min="3" max="3" width="14.81640625" style="124" bestFit="1" customWidth="1"/>
    <col min="4" max="4" width="18.81640625" style="105" customWidth="1"/>
    <col min="5" max="5" width="4.81640625" style="105" customWidth="1"/>
    <col min="6" max="6" width="18.81640625" style="105" customWidth="1"/>
    <col min="7" max="7" width="4.81640625" style="105" customWidth="1"/>
    <col min="8" max="8" width="18.81640625" style="105" customWidth="1"/>
    <col min="9" max="9" width="4.81640625" style="105" customWidth="1"/>
    <col min="10" max="10" width="18.81640625" style="105" customWidth="1"/>
    <col min="11" max="11" width="1.1796875" style="105" customWidth="1"/>
    <col min="12" max="16384" width="9.1796875" style="105"/>
  </cols>
  <sheetData>
    <row r="1" spans="1:13" ht="6" customHeight="1">
      <c r="A1" s="130"/>
      <c r="B1" s="131"/>
      <c r="C1" s="47"/>
      <c r="D1" s="131"/>
      <c r="E1" s="131"/>
      <c r="F1" s="131"/>
      <c r="G1" s="131"/>
      <c r="H1" s="131"/>
      <c r="I1" s="131"/>
      <c r="J1" s="131"/>
      <c r="K1" s="132"/>
    </row>
    <row r="2" spans="1:13" ht="18" customHeight="1">
      <c r="A2" s="133"/>
      <c r="B2" s="134" t="s">
        <v>569</v>
      </c>
      <c r="C2" s="123"/>
      <c r="D2" s="135" t="s">
        <v>405</v>
      </c>
      <c r="E2" s="136"/>
      <c r="F2" s="137">
        <f>VLOOKUP("Calculation_Date",calcdata,3,0)</f>
        <v>45973</v>
      </c>
      <c r="G2" s="136"/>
      <c r="H2" s="136"/>
      <c r="I2" s="136"/>
      <c r="J2" s="138"/>
      <c r="K2" s="139"/>
    </row>
    <row r="3" spans="1:13" ht="18" customHeight="1">
      <c r="A3" s="133"/>
      <c r="B3" s="134" t="s">
        <v>0</v>
      </c>
      <c r="C3" s="140"/>
      <c r="D3" s="141" t="s">
        <v>2</v>
      </c>
      <c r="E3" s="142"/>
      <c r="F3" s="143">
        <f>VLOOKUP("Payment_Date",calcdata,3,0)</f>
        <v>45975</v>
      </c>
      <c r="G3" s="142"/>
      <c r="H3" s="142"/>
      <c r="I3" s="142"/>
      <c r="J3" s="144"/>
      <c r="K3" s="139"/>
    </row>
    <row r="4" spans="1:13" ht="12.75" customHeight="1">
      <c r="A4" s="133"/>
      <c r="B4" s="145"/>
      <c r="C4" s="140"/>
      <c r="D4" s="141" t="s">
        <v>3</v>
      </c>
      <c r="E4" s="142"/>
      <c r="F4" s="146">
        <f>VLOOKUP("Period",calcdata,2,0)</f>
        <v>27</v>
      </c>
      <c r="G4" s="142"/>
      <c r="H4" s="147"/>
      <c r="I4" s="142"/>
      <c r="J4" s="148"/>
      <c r="K4" s="139"/>
    </row>
    <row r="5" spans="1:13" ht="18" customHeight="1">
      <c r="A5" s="133"/>
      <c r="B5" s="149" t="s">
        <v>33</v>
      </c>
      <c r="C5" s="140"/>
      <c r="D5" s="141" t="s">
        <v>1</v>
      </c>
      <c r="E5" s="142"/>
      <c r="F5" s="150">
        <f>VLOOKUP("Monthly_Period",calcdata,3,0)</f>
        <v>45975</v>
      </c>
      <c r="G5" s="142"/>
      <c r="H5" s="147"/>
      <c r="I5" s="142"/>
      <c r="J5" s="148"/>
      <c r="K5" s="139"/>
    </row>
    <row r="6" spans="1:13" ht="15" customHeight="1">
      <c r="A6" s="133"/>
      <c r="B6" s="151"/>
      <c r="C6" s="140"/>
      <c r="D6" s="141" t="s">
        <v>51</v>
      </c>
      <c r="E6" s="152" t="s">
        <v>34</v>
      </c>
      <c r="F6" s="143">
        <f>VLOOKUP("Interest_period_from",calcdata,3,0)</f>
        <v>45944</v>
      </c>
      <c r="G6" s="152" t="s">
        <v>4</v>
      </c>
      <c r="H6" s="143">
        <f>F3</f>
        <v>45975</v>
      </c>
      <c r="I6" s="152" t="s">
        <v>15</v>
      </c>
      <c r="J6" s="153" t="str">
        <f>H6-F6&amp;" days"</f>
        <v>31 days</v>
      </c>
      <c r="K6" s="154"/>
      <c r="M6" s="155"/>
    </row>
    <row r="7" spans="1:13">
      <c r="A7" s="133"/>
      <c r="B7" s="123"/>
      <c r="C7" s="123"/>
      <c r="D7" s="156" t="s">
        <v>111</v>
      </c>
      <c r="E7" s="157" t="s">
        <v>34</v>
      </c>
      <c r="F7" s="158" t="str">
        <f>"01."&amp;TEXT(F6,"MM.jjjj")</f>
        <v>01.10.2025</v>
      </c>
      <c r="G7" s="157" t="s">
        <v>4</v>
      </c>
      <c r="H7" s="158">
        <f>EOMONTH(F6,0)</f>
        <v>45961</v>
      </c>
      <c r="I7" s="159"/>
      <c r="J7" s="160"/>
      <c r="K7" s="139"/>
    </row>
    <row r="8" spans="1:13" ht="13">
      <c r="A8" s="133"/>
      <c r="B8" s="123"/>
      <c r="C8" s="123"/>
      <c r="D8" s="123"/>
      <c r="E8" s="161"/>
      <c r="F8" s="162"/>
      <c r="G8" s="163"/>
      <c r="H8" s="123"/>
      <c r="I8" s="123"/>
      <c r="J8" s="123"/>
      <c r="K8" s="139"/>
    </row>
    <row r="9" spans="1:13" ht="13">
      <c r="A9" s="133"/>
      <c r="B9" s="123"/>
      <c r="C9" s="123"/>
      <c r="D9" s="123"/>
      <c r="E9" s="161"/>
      <c r="F9" s="162"/>
      <c r="G9" s="163"/>
      <c r="H9" s="123"/>
      <c r="I9" s="123"/>
      <c r="J9" s="123"/>
      <c r="K9" s="139"/>
    </row>
    <row r="10" spans="1:13" ht="13">
      <c r="A10" s="133"/>
      <c r="B10" s="123"/>
      <c r="C10" s="105"/>
      <c r="D10" s="123"/>
      <c r="E10" s="161"/>
      <c r="F10" s="162"/>
      <c r="G10" s="163"/>
      <c r="H10" s="123"/>
      <c r="I10" s="123"/>
      <c r="J10" s="123"/>
      <c r="K10" s="139"/>
    </row>
    <row r="11" spans="1:13" ht="18" customHeight="1">
      <c r="A11" s="133"/>
      <c r="B11" s="123"/>
      <c r="C11" s="105"/>
      <c r="D11" s="123"/>
      <c r="E11" s="161"/>
      <c r="F11" s="162"/>
      <c r="G11" s="163"/>
      <c r="H11" s="123"/>
      <c r="I11" s="123"/>
      <c r="J11" s="123"/>
      <c r="K11" s="139"/>
    </row>
    <row r="12" spans="1:13">
      <c r="A12" s="133"/>
      <c r="B12" s="123"/>
      <c r="C12" s="105"/>
      <c r="D12" s="123"/>
      <c r="E12" s="123"/>
      <c r="F12" s="123"/>
      <c r="G12" s="123"/>
      <c r="H12" s="123"/>
      <c r="I12" s="123"/>
      <c r="J12" s="123"/>
      <c r="K12" s="139"/>
    </row>
    <row r="13" spans="1:13" ht="18">
      <c r="A13" s="133"/>
      <c r="B13" s="134" t="s">
        <v>52</v>
      </c>
      <c r="C13" s="164" t="s">
        <v>59</v>
      </c>
      <c r="D13" s="165"/>
      <c r="E13" s="165"/>
      <c r="F13" s="123"/>
      <c r="G13" s="123"/>
      <c r="H13" s="123"/>
      <c r="I13" s="123"/>
      <c r="J13" s="166"/>
      <c r="K13" s="139"/>
    </row>
    <row r="14" spans="1:13">
      <c r="A14" s="133"/>
      <c r="B14" s="123"/>
      <c r="C14" s="167"/>
      <c r="D14" s="123"/>
      <c r="E14" s="168"/>
      <c r="F14" s="123"/>
      <c r="G14" s="123"/>
      <c r="H14" s="123"/>
      <c r="I14" s="123"/>
      <c r="J14" s="123"/>
      <c r="K14" s="139"/>
    </row>
    <row r="15" spans="1:13" ht="15" customHeight="1">
      <c r="A15" s="133"/>
      <c r="B15" s="123" t="s">
        <v>48</v>
      </c>
      <c r="C15" s="169">
        <v>1</v>
      </c>
      <c r="D15" s="66" t="s">
        <v>1658</v>
      </c>
      <c r="E15" s="168"/>
      <c r="F15" s="123"/>
      <c r="G15" s="123"/>
      <c r="H15" s="123"/>
      <c r="I15" s="123"/>
      <c r="J15" s="123"/>
      <c r="K15" s="139"/>
    </row>
    <row r="16" spans="1:13" ht="15" customHeight="1">
      <c r="A16" s="133"/>
      <c r="B16" s="123" t="s">
        <v>365</v>
      </c>
      <c r="C16" s="169">
        <v>2</v>
      </c>
      <c r="D16" s="105" t="s">
        <v>1659</v>
      </c>
      <c r="E16" s="168"/>
      <c r="F16" s="123"/>
      <c r="G16" s="123"/>
      <c r="H16" s="123"/>
      <c r="I16" s="123"/>
      <c r="J16" s="123"/>
      <c r="K16" s="139"/>
    </row>
    <row r="17" spans="1:11" ht="15" customHeight="1">
      <c r="A17" s="133"/>
      <c r="B17" s="123" t="s">
        <v>49</v>
      </c>
      <c r="C17" s="169">
        <v>3</v>
      </c>
      <c r="D17" s="105" t="s">
        <v>1660</v>
      </c>
      <c r="E17" s="123"/>
      <c r="F17" s="123"/>
      <c r="G17" s="123"/>
      <c r="H17" s="123"/>
      <c r="I17" s="123"/>
      <c r="J17" s="19"/>
      <c r="K17" s="139"/>
    </row>
    <row r="18" spans="1:11" ht="15" customHeight="1">
      <c r="A18" s="133"/>
      <c r="B18" s="123" t="s">
        <v>237</v>
      </c>
      <c r="C18" s="169">
        <v>4</v>
      </c>
      <c r="D18" s="1080" t="s">
        <v>1661</v>
      </c>
      <c r="E18" s="123"/>
      <c r="F18" s="123"/>
      <c r="G18" s="123"/>
      <c r="H18" s="123"/>
      <c r="I18" s="123"/>
      <c r="J18" s="166"/>
      <c r="K18" s="139"/>
    </row>
    <row r="19" spans="1:11" ht="15" customHeight="1">
      <c r="A19" s="133"/>
      <c r="B19" s="170" t="s">
        <v>238</v>
      </c>
      <c r="C19" s="169">
        <v>5</v>
      </c>
      <c r="D19" s="1004"/>
      <c r="E19" s="123"/>
      <c r="F19" s="123"/>
      <c r="G19" s="123"/>
      <c r="H19" s="123"/>
      <c r="I19" s="123"/>
      <c r="J19" s="166"/>
      <c r="K19" s="139"/>
    </row>
    <row r="20" spans="1:11" ht="15" customHeight="1">
      <c r="A20" s="133"/>
      <c r="B20" s="170" t="s">
        <v>366</v>
      </c>
      <c r="C20" s="169">
        <v>6</v>
      </c>
      <c r="D20" s="1004"/>
      <c r="E20" s="123"/>
      <c r="F20" s="123"/>
      <c r="G20" s="123"/>
      <c r="H20" s="123"/>
      <c r="I20" s="123"/>
      <c r="J20" s="166"/>
      <c r="K20" s="139"/>
    </row>
    <row r="21" spans="1:11" ht="15" customHeight="1">
      <c r="A21" s="133"/>
      <c r="B21" s="123" t="s">
        <v>117</v>
      </c>
      <c r="C21" s="169">
        <v>7</v>
      </c>
      <c r="E21" s="123"/>
      <c r="F21" s="123"/>
      <c r="G21" s="123"/>
      <c r="H21" s="123"/>
      <c r="I21" s="123"/>
      <c r="J21" s="166"/>
      <c r="K21" s="139"/>
    </row>
    <row r="22" spans="1:11" ht="15" customHeight="1">
      <c r="A22" s="133"/>
      <c r="B22" s="123" t="s">
        <v>118</v>
      </c>
      <c r="C22" s="169">
        <v>8</v>
      </c>
      <c r="D22" s="1005"/>
      <c r="E22" s="168"/>
      <c r="F22" s="123"/>
      <c r="G22" s="123"/>
      <c r="H22" s="123"/>
      <c r="I22" s="123"/>
      <c r="J22" s="171"/>
      <c r="K22" s="139"/>
    </row>
    <row r="23" spans="1:11" ht="15" customHeight="1">
      <c r="A23" s="133"/>
      <c r="B23" s="123" t="s">
        <v>119</v>
      </c>
      <c r="C23" s="169">
        <v>9</v>
      </c>
      <c r="D23" s="19"/>
      <c r="E23" s="168"/>
      <c r="F23" s="123"/>
      <c r="G23" s="123"/>
      <c r="H23" s="123"/>
      <c r="I23" s="123"/>
      <c r="J23" s="172"/>
      <c r="K23" s="139"/>
    </row>
    <row r="24" spans="1:11" ht="15" customHeight="1">
      <c r="A24" s="133"/>
      <c r="B24" s="123" t="s">
        <v>120</v>
      </c>
      <c r="C24" s="169">
        <v>10</v>
      </c>
      <c r="D24" s="19"/>
      <c r="E24" s="168"/>
      <c r="F24" s="123"/>
      <c r="G24" s="123"/>
      <c r="H24" s="123"/>
      <c r="I24" s="123"/>
      <c r="J24" s="172"/>
      <c r="K24" s="139"/>
    </row>
    <row r="25" spans="1:11" ht="15" customHeight="1">
      <c r="A25" s="133"/>
      <c r="B25" s="123" t="s">
        <v>121</v>
      </c>
      <c r="C25" s="169">
        <v>11</v>
      </c>
      <c r="D25" s="19"/>
      <c r="E25" s="168"/>
      <c r="F25" s="123"/>
      <c r="G25" s="123"/>
      <c r="H25" s="123"/>
      <c r="I25" s="123"/>
      <c r="J25" s="172"/>
      <c r="K25" s="139"/>
    </row>
    <row r="26" spans="1:11" ht="15" customHeight="1">
      <c r="A26" s="133"/>
      <c r="B26" s="123" t="s">
        <v>122</v>
      </c>
      <c r="C26" s="169">
        <v>12</v>
      </c>
      <c r="D26" s="19"/>
      <c r="E26" s="168"/>
      <c r="F26" s="123"/>
      <c r="G26" s="123"/>
      <c r="H26" s="123"/>
      <c r="I26" s="123"/>
      <c r="J26" s="172"/>
      <c r="K26" s="139"/>
    </row>
    <row r="27" spans="1:11" ht="15" customHeight="1">
      <c r="A27" s="133"/>
      <c r="B27" s="123" t="s">
        <v>123</v>
      </c>
      <c r="C27" s="169">
        <v>13</v>
      </c>
      <c r="D27" s="19"/>
      <c r="E27" s="168"/>
      <c r="F27" s="123"/>
      <c r="G27" s="123"/>
      <c r="H27" s="123"/>
      <c r="I27" s="123"/>
      <c r="J27" s="172"/>
      <c r="K27" s="139"/>
    </row>
    <row r="28" spans="1:11" ht="15" customHeight="1">
      <c r="A28" s="133"/>
      <c r="B28" s="123" t="s">
        <v>124</v>
      </c>
      <c r="C28" s="169">
        <v>14</v>
      </c>
      <c r="D28" s="19"/>
      <c r="E28" s="168"/>
      <c r="F28" s="123"/>
      <c r="G28" s="123"/>
      <c r="H28" s="123"/>
      <c r="I28" s="123"/>
      <c r="J28" s="172"/>
      <c r="K28" s="139"/>
    </row>
    <row r="29" spans="1:11" ht="15" customHeight="1">
      <c r="A29" s="133"/>
      <c r="B29" s="123" t="s">
        <v>125</v>
      </c>
      <c r="C29" s="169">
        <v>15</v>
      </c>
      <c r="D29" s="19"/>
      <c r="E29" s="168"/>
      <c r="F29" s="123"/>
      <c r="G29" s="123"/>
      <c r="H29" s="123"/>
      <c r="I29" s="123"/>
      <c r="J29" s="172"/>
      <c r="K29" s="139"/>
    </row>
    <row r="30" spans="1:11" ht="15" customHeight="1">
      <c r="A30" s="133"/>
      <c r="B30" s="123" t="s">
        <v>126</v>
      </c>
      <c r="C30" s="169">
        <v>16</v>
      </c>
      <c r="D30" s="19"/>
      <c r="E30" s="168"/>
      <c r="F30" s="123"/>
      <c r="G30" s="123"/>
      <c r="H30" s="123"/>
      <c r="I30" s="123"/>
      <c r="J30" s="172"/>
      <c r="K30" s="139"/>
    </row>
    <row r="31" spans="1:11" ht="15" customHeight="1">
      <c r="A31" s="133"/>
      <c r="B31" s="123" t="s">
        <v>127</v>
      </c>
      <c r="C31" s="169">
        <v>17</v>
      </c>
      <c r="D31" s="19"/>
      <c r="E31" s="168"/>
      <c r="F31" s="123"/>
      <c r="G31" s="123"/>
      <c r="H31" s="123"/>
      <c r="I31" s="123"/>
      <c r="J31" s="172"/>
      <c r="K31" s="139"/>
    </row>
    <row r="32" spans="1:11" ht="15" customHeight="1">
      <c r="A32" s="133"/>
      <c r="B32" s="123" t="s">
        <v>128</v>
      </c>
      <c r="C32" s="169">
        <v>18</v>
      </c>
      <c r="D32" s="19"/>
      <c r="E32" s="168"/>
      <c r="F32" s="123"/>
      <c r="G32" s="123"/>
      <c r="H32" s="123"/>
      <c r="I32" s="123"/>
      <c r="J32" s="172"/>
      <c r="K32" s="139"/>
    </row>
    <row r="33" spans="1:11" ht="15" customHeight="1">
      <c r="A33" s="133"/>
      <c r="B33" s="123" t="s">
        <v>202</v>
      </c>
      <c r="C33" s="169">
        <v>19</v>
      </c>
      <c r="D33" s="19"/>
      <c r="E33" s="168"/>
      <c r="F33" s="123"/>
      <c r="G33" s="123"/>
      <c r="H33" s="123"/>
      <c r="I33" s="123"/>
      <c r="J33" s="172"/>
      <c r="K33" s="139"/>
    </row>
    <row r="34" spans="1:11" ht="15" customHeight="1">
      <c r="A34" s="133"/>
      <c r="B34" s="123" t="s">
        <v>203</v>
      </c>
      <c r="C34" s="169">
        <v>20</v>
      </c>
      <c r="D34" s="19"/>
      <c r="E34" s="168"/>
      <c r="F34" s="123"/>
      <c r="G34" s="123"/>
      <c r="H34" s="123"/>
      <c r="I34" s="123"/>
      <c r="J34" s="172"/>
      <c r="K34" s="139"/>
    </row>
    <row r="35" spans="1:11" ht="15" customHeight="1">
      <c r="A35" s="133"/>
      <c r="B35" s="123" t="s">
        <v>129</v>
      </c>
      <c r="C35" s="169">
        <v>21</v>
      </c>
      <c r="D35" s="19"/>
      <c r="E35" s="168"/>
      <c r="F35" s="123"/>
      <c r="G35" s="123"/>
      <c r="H35" s="123"/>
      <c r="I35" s="123"/>
      <c r="J35" s="172"/>
      <c r="K35" s="139"/>
    </row>
    <row r="36" spans="1:11" ht="15" customHeight="1">
      <c r="A36" s="133"/>
      <c r="B36" s="123" t="s">
        <v>130</v>
      </c>
      <c r="C36" s="169">
        <v>22</v>
      </c>
      <c r="D36" s="19"/>
      <c r="E36" s="168"/>
      <c r="F36" s="123"/>
      <c r="G36" s="123"/>
      <c r="H36" s="123"/>
      <c r="I36" s="123"/>
      <c r="J36" s="172"/>
      <c r="K36" s="139"/>
    </row>
    <row r="37" spans="1:11" ht="15" customHeight="1">
      <c r="A37" s="133"/>
      <c r="B37" s="123" t="s">
        <v>131</v>
      </c>
      <c r="C37" s="169">
        <v>23</v>
      </c>
      <c r="D37" s="19"/>
      <c r="E37" s="168"/>
      <c r="F37" s="123"/>
      <c r="G37" s="123"/>
      <c r="H37" s="123"/>
      <c r="I37" s="123"/>
      <c r="J37" s="172"/>
      <c r="K37" s="139"/>
    </row>
    <row r="38" spans="1:11" ht="15" customHeight="1">
      <c r="A38" s="133"/>
      <c r="B38" s="123" t="s">
        <v>132</v>
      </c>
      <c r="C38" s="169">
        <v>24</v>
      </c>
      <c r="D38" s="19"/>
      <c r="E38" s="168"/>
      <c r="F38" s="123"/>
      <c r="G38" s="123"/>
      <c r="H38" s="123"/>
      <c r="I38" s="123"/>
      <c r="J38" s="172"/>
      <c r="K38" s="139"/>
    </row>
    <row r="39" spans="1:11" ht="15" customHeight="1">
      <c r="A39" s="133"/>
      <c r="B39" s="123" t="s">
        <v>133</v>
      </c>
      <c r="C39" s="169">
        <v>25</v>
      </c>
      <c r="D39" s="19"/>
      <c r="E39" s="168"/>
      <c r="F39" s="123"/>
      <c r="G39" s="123"/>
      <c r="H39" s="123"/>
      <c r="I39" s="123"/>
      <c r="J39" s="172"/>
      <c r="K39" s="139"/>
    </row>
    <row r="40" spans="1:11" ht="15" customHeight="1">
      <c r="A40" s="133"/>
      <c r="B40" s="123" t="s">
        <v>134</v>
      </c>
      <c r="C40" s="169">
        <v>26</v>
      </c>
      <c r="D40" s="19"/>
      <c r="E40" s="168"/>
      <c r="F40" s="123"/>
      <c r="G40" s="123"/>
      <c r="H40" s="123"/>
      <c r="I40" s="123"/>
      <c r="J40" s="172"/>
      <c r="K40" s="139"/>
    </row>
    <row r="41" spans="1:11" ht="15" customHeight="1">
      <c r="A41" s="133"/>
      <c r="B41" s="123" t="s">
        <v>135</v>
      </c>
      <c r="C41" s="169">
        <v>27</v>
      </c>
      <c r="D41" s="19"/>
      <c r="E41" s="168"/>
      <c r="F41" s="123"/>
      <c r="G41" s="123"/>
      <c r="H41" s="123"/>
      <c r="I41" s="123"/>
      <c r="J41" s="172"/>
      <c r="K41" s="139"/>
    </row>
    <row r="42" spans="1:11" ht="15" customHeight="1">
      <c r="A42" s="133"/>
      <c r="B42" s="123" t="s">
        <v>375</v>
      </c>
      <c r="C42" s="169">
        <v>28</v>
      </c>
      <c r="D42" s="19"/>
      <c r="E42" s="168"/>
      <c r="F42" s="123"/>
      <c r="G42" s="123"/>
      <c r="H42" s="123"/>
      <c r="I42" s="123"/>
      <c r="J42" s="172"/>
      <c r="K42" s="139"/>
    </row>
    <row r="43" spans="1:11" ht="15" customHeight="1">
      <c r="A43" s="133"/>
      <c r="B43" s="123" t="s">
        <v>376</v>
      </c>
      <c r="C43" s="169">
        <v>29</v>
      </c>
      <c r="D43" s="124"/>
      <c r="E43" s="168"/>
      <c r="F43" s="123"/>
      <c r="G43" s="123"/>
      <c r="H43" s="123"/>
      <c r="I43" s="123"/>
      <c r="J43" s="172"/>
      <c r="K43" s="139"/>
    </row>
    <row r="44" spans="1:11" ht="15" customHeight="1">
      <c r="A44" s="133"/>
      <c r="B44" s="123" t="s">
        <v>377</v>
      </c>
      <c r="C44" s="169">
        <v>30</v>
      </c>
      <c r="D44" s="124"/>
      <c r="E44" s="168"/>
      <c r="F44" s="123"/>
      <c r="G44" s="123"/>
      <c r="H44" s="123"/>
      <c r="I44" s="123"/>
      <c r="J44" s="172"/>
      <c r="K44" s="139"/>
    </row>
    <row r="45" spans="1:11" ht="15" customHeight="1">
      <c r="A45" s="133"/>
      <c r="B45" s="105" t="s">
        <v>378</v>
      </c>
      <c r="C45" s="169">
        <v>31</v>
      </c>
      <c r="D45" s="19"/>
      <c r="E45" s="168"/>
      <c r="F45" s="123"/>
      <c r="G45" s="123"/>
      <c r="H45" s="123"/>
      <c r="I45" s="123"/>
      <c r="J45" s="172"/>
      <c r="K45" s="139"/>
    </row>
    <row r="46" spans="1:11" ht="15" customHeight="1">
      <c r="A46" s="133"/>
      <c r="B46" s="123" t="s">
        <v>236</v>
      </c>
      <c r="C46" s="169">
        <v>32</v>
      </c>
      <c r="D46" s="123"/>
      <c r="E46" s="129"/>
      <c r="F46" s="123"/>
      <c r="G46" s="123"/>
      <c r="H46" s="123"/>
      <c r="I46" s="123"/>
      <c r="J46" s="171"/>
      <c r="K46" s="139"/>
    </row>
    <row r="47" spans="1:11" ht="15" customHeight="1">
      <c r="A47" s="133"/>
      <c r="B47" s="105" t="s">
        <v>379</v>
      </c>
      <c r="C47" s="169">
        <v>33</v>
      </c>
      <c r="D47" s="123"/>
      <c r="E47" s="129"/>
      <c r="F47" s="123"/>
      <c r="G47" s="123"/>
      <c r="H47" s="123"/>
      <c r="I47" s="123"/>
      <c r="J47" s="171"/>
      <c r="K47" s="139"/>
    </row>
    <row r="48" spans="1:11" ht="15" customHeight="1">
      <c r="A48" s="133"/>
      <c r="B48" s="123" t="s">
        <v>380</v>
      </c>
      <c r="C48" s="169">
        <v>34</v>
      </c>
      <c r="D48" s="123"/>
      <c r="E48" s="129"/>
      <c r="F48" s="123"/>
      <c r="G48" s="123"/>
      <c r="H48" s="123"/>
      <c r="I48" s="123"/>
      <c r="J48" s="171"/>
      <c r="K48" s="139"/>
    </row>
    <row r="49" spans="1:11" ht="15" customHeight="1">
      <c r="A49" s="133"/>
      <c r="B49" s="123" t="s">
        <v>381</v>
      </c>
      <c r="C49" s="169">
        <v>35</v>
      </c>
      <c r="D49" s="123"/>
      <c r="E49" s="129"/>
      <c r="F49" s="123"/>
      <c r="G49" s="123"/>
      <c r="H49" s="123"/>
      <c r="I49" s="123"/>
      <c r="J49" s="171"/>
      <c r="K49" s="139"/>
    </row>
    <row r="50" spans="1:11" ht="13">
      <c r="A50" s="133"/>
      <c r="B50" s="123"/>
      <c r="C50" s="169"/>
      <c r="D50" s="123"/>
      <c r="E50" s="129"/>
      <c r="F50" s="123"/>
      <c r="G50" s="123"/>
      <c r="H50" s="123"/>
      <c r="I50" s="123"/>
      <c r="J50" s="171"/>
      <c r="K50" s="139"/>
    </row>
    <row r="51" spans="1:11" ht="13">
      <c r="A51" s="133"/>
      <c r="B51" s="123"/>
      <c r="C51" s="169"/>
      <c r="D51" s="123"/>
      <c r="E51" s="129"/>
      <c r="F51" s="123"/>
      <c r="G51" s="123"/>
      <c r="H51" s="123"/>
      <c r="I51" s="123"/>
      <c r="J51" s="171"/>
      <c r="K51" s="139"/>
    </row>
    <row r="52" spans="1:11" ht="12.75" customHeight="1">
      <c r="A52" s="173"/>
      <c r="B52" s="174"/>
      <c r="C52" s="54"/>
      <c r="D52" s="175"/>
      <c r="E52" s="175"/>
      <c r="F52" s="175"/>
      <c r="G52" s="175"/>
      <c r="H52" s="175"/>
      <c r="I52" s="175"/>
      <c r="J52" s="174"/>
      <c r="K52" s="176"/>
    </row>
    <row r="53" spans="1:11" ht="13">
      <c r="B53" s="177"/>
      <c r="C53" s="178"/>
      <c r="J53" s="177"/>
    </row>
    <row r="54" spans="1:11">
      <c r="B54" s="177"/>
      <c r="J54" s="177"/>
    </row>
    <row r="55" spans="1:11">
      <c r="B55" s="177"/>
      <c r="J55" s="177"/>
    </row>
    <row r="56" spans="1:11">
      <c r="B56" s="177"/>
      <c r="J56" s="177"/>
    </row>
    <row r="59" spans="1:11" ht="13">
      <c r="C59" s="178"/>
    </row>
    <row r="60" spans="1:11" ht="13">
      <c r="C60" s="178"/>
    </row>
    <row r="61" spans="1:11" ht="13">
      <c r="C61" s="178"/>
    </row>
    <row r="66" spans="3:3">
      <c r="C66" s="179"/>
    </row>
  </sheetData>
  <phoneticPr fontId="3" type="noConversion"/>
  <hyperlinks>
    <hyperlink ref="D18" r:id="rId1" display="https://survey.alchemer.eu/s3/90937646/European-Securitization-Awards-2026-Call-for-Nominations" xr:uid="{1EB1E2D3-AB3B-4C2F-9D16-D5ED92DCF80A}"/>
  </hyperlinks>
  <pageMargins left="0.70866141732283472" right="0.70866141732283472" top="0.78740157480314965" bottom="0.78740157480314965" header="0.31496062992125984" footer="0.31496062992125984"/>
  <pageSetup paperSize="9" scale="63" orientation="landscape" r:id="rId2"/>
  <headerFooter>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1.81640625" style="124" customWidth="1"/>
    <col min="4" max="4" width="29.179687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29.179687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147</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98"/>
      <c r="C12" s="198"/>
      <c r="K12" s="139"/>
      <c r="M12" s="19"/>
      <c r="N12" s="19"/>
      <c r="O12" s="19"/>
      <c r="P12" s="19"/>
      <c r="Q12" s="19"/>
    </row>
    <row r="13" spans="1:17" ht="29">
      <c r="A13" s="206"/>
      <c r="B13" s="13"/>
      <c r="C13" s="12"/>
      <c r="D13" s="519" t="s">
        <v>73</v>
      </c>
      <c r="E13" s="552" t="s">
        <v>72</v>
      </c>
      <c r="F13" s="520" t="s">
        <v>114</v>
      </c>
      <c r="G13" s="521" t="s">
        <v>62</v>
      </c>
      <c r="H13" s="553" t="s">
        <v>115</v>
      </c>
      <c r="I13" s="105"/>
      <c r="K13" s="200"/>
      <c r="M13" s="240"/>
      <c r="N13" s="243"/>
      <c r="O13" s="241"/>
      <c r="P13" s="516"/>
      <c r="Q13" s="516"/>
    </row>
    <row r="14" spans="1:17" ht="13.5" customHeight="1">
      <c r="A14" s="206"/>
      <c r="B14" s="13"/>
      <c r="C14" s="12"/>
      <c r="D14" s="600" t="s">
        <v>695</v>
      </c>
      <c r="E14" s="601">
        <f>VLOOKUP(CONCATENATE("payment_",D14),Assets_Daten,3,0)</f>
        <v>469209019.89999735</v>
      </c>
      <c r="F14" s="602">
        <f>E14/$E$16</f>
        <v>0.9524319087607146</v>
      </c>
      <c r="G14" s="603">
        <f>VLOOKUP(CONCATENATE("payment_",D14),Assets_Daten,2,0)</f>
        <v>34295</v>
      </c>
      <c r="H14" s="604">
        <f>G14/$G$16</f>
        <v>0.96077882056310404</v>
      </c>
      <c r="I14" s="105"/>
      <c r="K14" s="200"/>
      <c r="M14" s="605"/>
      <c r="N14" s="606"/>
      <c r="O14" s="607"/>
      <c r="P14" s="608"/>
      <c r="Q14" s="607"/>
    </row>
    <row r="15" spans="1:17" ht="13" thickBot="1">
      <c r="A15" s="206"/>
      <c r="B15" s="13"/>
      <c r="C15" s="12"/>
      <c r="D15" s="609" t="s">
        <v>696</v>
      </c>
      <c r="E15" s="610">
        <f>VLOOKUP(CONCATENATE("payment_",D15),Assets_Daten,3,0)</f>
        <v>23434092.519999992</v>
      </c>
      <c r="F15" s="602">
        <f>E15/$E$16</f>
        <v>4.7568091239285452E-2</v>
      </c>
      <c r="G15" s="611">
        <f>VLOOKUP(CONCATENATE("payment_",D15),Assets_Daten,2,0)</f>
        <v>1400</v>
      </c>
      <c r="H15" s="612">
        <f>G15/$G$16</f>
        <v>3.9221179436895924E-2</v>
      </c>
      <c r="I15" s="105"/>
      <c r="K15" s="200"/>
      <c r="M15" s="605"/>
      <c r="N15" s="606"/>
      <c r="O15" s="607"/>
      <c r="P15" s="608"/>
      <c r="Q15" s="607"/>
    </row>
    <row r="16" spans="1:17" ht="14" thickTop="1" thickBot="1">
      <c r="A16" s="206"/>
      <c r="B16" s="13"/>
      <c r="C16" s="12"/>
      <c r="D16" s="613" t="s">
        <v>36</v>
      </c>
      <c r="E16" s="922">
        <f>SUM(E14:E15)</f>
        <v>492643112.41999733</v>
      </c>
      <c r="F16" s="928">
        <f t="shared" ref="F16:H16" si="0">SUM(F14:F15)</f>
        <v>1</v>
      </c>
      <c r="G16" s="924">
        <f t="shared" si="0"/>
        <v>35695</v>
      </c>
      <c r="H16" s="929">
        <f t="shared" si="0"/>
        <v>1</v>
      </c>
      <c r="I16" s="105"/>
      <c r="K16" s="200"/>
      <c r="M16" s="614"/>
      <c r="N16" s="615"/>
      <c r="O16" s="616"/>
      <c r="P16" s="617"/>
      <c r="Q16" s="616"/>
    </row>
    <row r="17" spans="1:17">
      <c r="A17" s="206"/>
      <c r="B17" s="13"/>
      <c r="C17" s="12"/>
      <c r="D17" s="618"/>
      <c r="E17" s="618"/>
      <c r="F17" s="618"/>
      <c r="G17" s="618"/>
      <c r="H17" s="618"/>
      <c r="I17" s="105"/>
      <c r="K17" s="200"/>
      <c r="M17" s="226"/>
      <c r="N17" s="226"/>
      <c r="O17" s="226"/>
      <c r="P17" s="226"/>
      <c r="Q17" s="226"/>
    </row>
    <row r="18" spans="1:17">
      <c r="A18" s="206"/>
      <c r="B18" s="13"/>
      <c r="C18" s="12"/>
      <c r="D18" s="618"/>
      <c r="E18" s="260"/>
      <c r="F18" s="618"/>
      <c r="G18" s="619"/>
      <c r="H18" s="618"/>
      <c r="I18" s="105"/>
      <c r="K18" s="200"/>
      <c r="M18" s="226"/>
      <c r="N18" s="260"/>
      <c r="O18" s="226"/>
      <c r="P18" s="229"/>
      <c r="Q18" s="226"/>
    </row>
    <row r="19" spans="1:17" ht="13" thickBot="1">
      <c r="A19" s="206"/>
      <c r="B19" s="13"/>
      <c r="C19" s="12"/>
      <c r="D19" s="618"/>
      <c r="E19" s="618"/>
      <c r="F19" s="618"/>
      <c r="G19" s="618"/>
      <c r="H19" s="618"/>
      <c r="I19" s="123"/>
      <c r="K19" s="200"/>
      <c r="M19" s="226"/>
      <c r="N19" s="226"/>
      <c r="O19" s="226"/>
      <c r="P19" s="226"/>
      <c r="Q19" s="226"/>
    </row>
    <row r="20" spans="1:17" ht="29">
      <c r="A20" s="206"/>
      <c r="B20" s="13"/>
      <c r="C20" s="12"/>
      <c r="D20" s="519" t="s">
        <v>74</v>
      </c>
      <c r="E20" s="552" t="s">
        <v>72</v>
      </c>
      <c r="F20" s="520" t="s">
        <v>114</v>
      </c>
      <c r="G20" s="521" t="s">
        <v>62</v>
      </c>
      <c r="H20" s="553" t="s">
        <v>115</v>
      </c>
      <c r="I20" s="581"/>
      <c r="K20" s="200"/>
      <c r="M20" s="240"/>
      <c r="N20" s="243"/>
      <c r="O20" s="241"/>
      <c r="P20" s="516"/>
      <c r="Q20" s="516"/>
    </row>
    <row r="21" spans="1:17" ht="13.5" customHeight="1">
      <c r="A21" s="206"/>
      <c r="B21" s="13"/>
      <c r="C21" s="12"/>
      <c r="D21" s="122" t="s">
        <v>697</v>
      </c>
      <c r="E21" s="601">
        <f>VLOOKUP(CONCATENATE("payment_",D21),Assets_Daten,3,0)</f>
        <v>129869728.31999995</v>
      </c>
      <c r="F21" s="602">
        <f>E21/$E$23</f>
        <v>0.26361827669130272</v>
      </c>
      <c r="G21" s="603">
        <f>VLOOKUP(CONCATENATE("payment_",D21),Assets_Daten,2,0)</f>
        <v>9223</v>
      </c>
      <c r="H21" s="604">
        <f>G21/$G$23</f>
        <v>0.25838352710463652</v>
      </c>
      <c r="I21" s="19"/>
      <c r="K21" s="200"/>
      <c r="M21" s="605"/>
      <c r="N21" s="606"/>
      <c r="O21" s="607"/>
      <c r="P21" s="608"/>
      <c r="Q21" s="607"/>
    </row>
    <row r="22" spans="1:17" ht="13.5" customHeight="1" thickBot="1">
      <c r="A22" s="206"/>
      <c r="B22" s="13"/>
      <c r="C22" s="12"/>
      <c r="D22" s="620" t="s">
        <v>698</v>
      </c>
      <c r="E22" s="610">
        <f>VLOOKUP(CONCATENATE("payment_",D22),Assets_Daten,3,0)</f>
        <v>362773384.09999943</v>
      </c>
      <c r="F22" s="621">
        <f>E22/$E$23</f>
        <v>0.73638172330869733</v>
      </c>
      <c r="G22" s="611">
        <f>VLOOKUP(CONCATENATE("payment_",D22),Assets_Daten,2,0)</f>
        <v>26472</v>
      </c>
      <c r="H22" s="622">
        <f>G22/$G$23</f>
        <v>0.74161647289536348</v>
      </c>
      <c r="I22" s="583"/>
      <c r="K22" s="200"/>
      <c r="M22" s="605"/>
      <c r="N22" s="606"/>
      <c r="O22" s="607"/>
      <c r="P22" s="608"/>
      <c r="Q22" s="607"/>
    </row>
    <row r="23" spans="1:17" ht="14" thickTop="1" thickBot="1">
      <c r="A23" s="206"/>
      <c r="B23" s="13"/>
      <c r="C23" s="12"/>
      <c r="D23" s="623" t="s">
        <v>36</v>
      </c>
      <c r="E23" s="922">
        <f>SUM(E21:E22)</f>
        <v>492643112.41999936</v>
      </c>
      <c r="F23" s="928">
        <f t="shared" ref="F23:H23" si="1">SUM(F21:F22)</f>
        <v>1</v>
      </c>
      <c r="G23" s="924">
        <f t="shared" si="1"/>
        <v>35695</v>
      </c>
      <c r="H23" s="929">
        <f t="shared" si="1"/>
        <v>1</v>
      </c>
      <c r="I23" s="19"/>
      <c r="K23" s="200"/>
      <c r="M23" s="614"/>
      <c r="N23" s="615"/>
      <c r="O23" s="616"/>
      <c r="P23" s="617"/>
      <c r="Q23" s="616"/>
    </row>
    <row r="24" spans="1:17" ht="13">
      <c r="A24" s="206"/>
      <c r="B24" s="13"/>
      <c r="C24" s="12"/>
      <c r="D24" s="624"/>
      <c r="E24" s="625"/>
      <c r="F24" s="626"/>
      <c r="G24" s="627"/>
      <c r="H24" s="626"/>
      <c r="I24" s="19"/>
      <c r="K24" s="200"/>
      <c r="M24" s="614"/>
      <c r="N24" s="615"/>
      <c r="O24" s="616"/>
      <c r="P24" s="617"/>
      <c r="Q24" s="616"/>
    </row>
    <row r="25" spans="1:17" ht="13">
      <c r="A25" s="206"/>
      <c r="B25" s="13"/>
      <c r="C25" s="12"/>
      <c r="D25" s="624"/>
      <c r="E25" s="625"/>
      <c r="F25" s="626"/>
      <c r="G25" s="627"/>
      <c r="H25" s="626"/>
      <c r="I25" s="19"/>
      <c r="K25" s="200"/>
      <c r="M25" s="614"/>
      <c r="N25" s="615"/>
      <c r="O25" s="616"/>
      <c r="P25" s="617"/>
      <c r="Q25" s="616"/>
    </row>
    <row r="26" spans="1:17" ht="13">
      <c r="A26" s="206"/>
      <c r="B26" s="13"/>
      <c r="C26" s="12"/>
      <c r="D26" s="624"/>
      <c r="E26" s="625"/>
      <c r="F26" s="626"/>
      <c r="G26" s="627"/>
      <c r="H26" s="626"/>
      <c r="I26" s="19"/>
      <c r="K26" s="200"/>
      <c r="M26" s="614"/>
      <c r="N26" s="615"/>
      <c r="O26" s="616"/>
      <c r="P26" s="617"/>
      <c r="Q26" s="616"/>
    </row>
    <row r="27" spans="1:17" ht="13">
      <c r="A27" s="206"/>
      <c r="B27" s="13"/>
      <c r="C27" s="12"/>
      <c r="D27" s="624"/>
      <c r="E27" s="625"/>
      <c r="F27" s="626"/>
      <c r="G27" s="627"/>
      <c r="H27" s="626"/>
      <c r="I27" s="19"/>
      <c r="K27" s="200"/>
      <c r="M27" s="614"/>
      <c r="N27" s="615"/>
      <c r="O27" s="616"/>
      <c r="P27" s="617"/>
      <c r="Q27" s="616"/>
    </row>
    <row r="28" spans="1:17" ht="13">
      <c r="A28" s="206"/>
      <c r="B28" s="13"/>
      <c r="C28" s="12"/>
      <c r="D28" s="624"/>
      <c r="E28" s="625"/>
      <c r="F28" s="626"/>
      <c r="G28" s="627"/>
      <c r="H28" s="626"/>
      <c r="I28" s="19"/>
      <c r="K28" s="200"/>
      <c r="M28" s="614"/>
      <c r="N28" s="615"/>
      <c r="O28" s="616"/>
      <c r="P28" s="617"/>
      <c r="Q28" s="616"/>
    </row>
    <row r="29" spans="1:17" ht="13">
      <c r="A29" s="206"/>
      <c r="B29" s="13"/>
      <c r="C29" s="12"/>
      <c r="D29" s="624"/>
      <c r="E29" s="625"/>
      <c r="F29" s="626"/>
      <c r="G29" s="627"/>
      <c r="H29" s="626"/>
      <c r="I29" s="19"/>
      <c r="K29" s="200"/>
      <c r="M29" s="614"/>
      <c r="N29" s="615"/>
      <c r="O29" s="616"/>
      <c r="P29" s="617"/>
      <c r="Q29" s="616"/>
    </row>
    <row r="30" spans="1:17" ht="13">
      <c r="A30" s="206"/>
      <c r="B30" s="13"/>
      <c r="C30" s="12"/>
      <c r="D30" s="624"/>
      <c r="E30" s="625"/>
      <c r="F30" s="626"/>
      <c r="G30" s="627"/>
      <c r="H30" s="626"/>
      <c r="I30" s="19"/>
      <c r="K30" s="200"/>
      <c r="M30" s="614"/>
      <c r="N30" s="615"/>
      <c r="O30" s="616"/>
      <c r="P30" s="617"/>
      <c r="Q30" s="616"/>
    </row>
    <row r="31" spans="1:17" ht="13">
      <c r="A31" s="206"/>
      <c r="B31" s="13"/>
      <c r="C31" s="12"/>
      <c r="D31" s="624"/>
      <c r="E31" s="625"/>
      <c r="F31" s="626"/>
      <c r="G31" s="627"/>
      <c r="H31" s="626"/>
      <c r="I31" s="19"/>
      <c r="K31" s="200"/>
      <c r="M31" s="614"/>
      <c r="N31" s="615"/>
      <c r="O31" s="616"/>
      <c r="P31" s="617"/>
      <c r="Q31" s="616"/>
    </row>
    <row r="32" spans="1:17" ht="13">
      <c r="A32" s="206"/>
      <c r="B32" s="13"/>
      <c r="C32" s="12"/>
      <c r="D32" s="624"/>
      <c r="E32" s="625"/>
      <c r="F32" s="626"/>
      <c r="G32" s="627"/>
      <c r="H32" s="626"/>
      <c r="I32" s="19"/>
      <c r="K32" s="200"/>
      <c r="M32" s="614"/>
      <c r="N32" s="615"/>
      <c r="O32" s="616"/>
      <c r="P32" s="617"/>
      <c r="Q32" s="616"/>
    </row>
    <row r="33" spans="1:17" ht="13">
      <c r="A33" s="206"/>
      <c r="B33" s="13"/>
      <c r="C33" s="12"/>
      <c r="D33" s="624"/>
      <c r="E33" s="625"/>
      <c r="F33" s="626"/>
      <c r="G33" s="627"/>
      <c r="H33" s="626"/>
      <c r="I33" s="19"/>
      <c r="K33" s="200"/>
      <c r="M33" s="614"/>
      <c r="N33" s="615"/>
      <c r="O33" s="616"/>
      <c r="P33" s="617"/>
      <c r="Q33" s="616"/>
    </row>
    <row r="34" spans="1:17" ht="13">
      <c r="A34" s="206"/>
      <c r="B34" s="13"/>
      <c r="C34" s="12"/>
      <c r="D34" s="624"/>
      <c r="E34" s="625"/>
      <c r="F34" s="626"/>
      <c r="G34" s="627"/>
      <c r="H34" s="626"/>
      <c r="I34" s="19"/>
      <c r="K34" s="200"/>
      <c r="M34" s="614"/>
      <c r="N34" s="615"/>
      <c r="O34" s="616"/>
      <c r="P34" s="617"/>
      <c r="Q34" s="616"/>
    </row>
    <row r="35" spans="1:17" ht="13">
      <c r="A35" s="206"/>
      <c r="B35" s="13"/>
      <c r="C35" s="12"/>
      <c r="D35" s="624"/>
      <c r="E35" s="625"/>
      <c r="F35" s="626"/>
      <c r="G35" s="627"/>
      <c r="H35" s="626"/>
      <c r="I35" s="19"/>
      <c r="K35" s="200"/>
      <c r="M35" s="614"/>
      <c r="N35" s="615"/>
      <c r="O35" s="616"/>
      <c r="P35" s="617"/>
      <c r="Q35" s="616"/>
    </row>
    <row r="36" spans="1:17" ht="13">
      <c r="A36" s="206"/>
      <c r="B36" s="13"/>
      <c r="C36" s="12"/>
      <c r="D36" s="624"/>
      <c r="E36" s="625"/>
      <c r="F36" s="626"/>
      <c r="G36" s="627"/>
      <c r="H36" s="626"/>
      <c r="I36" s="19"/>
      <c r="K36" s="200"/>
      <c r="M36" s="614"/>
      <c r="N36" s="615"/>
      <c r="O36" s="616"/>
      <c r="P36" s="617"/>
      <c r="Q36" s="616"/>
    </row>
    <row r="37" spans="1:17" ht="13">
      <c r="A37" s="206"/>
      <c r="B37" s="13"/>
      <c r="C37" s="12"/>
      <c r="D37" s="624"/>
      <c r="E37" s="625"/>
      <c r="F37" s="626"/>
      <c r="G37" s="627"/>
      <c r="H37" s="626"/>
      <c r="I37" s="19"/>
      <c r="K37" s="200"/>
      <c r="M37" s="614"/>
      <c r="N37" s="615"/>
      <c r="O37" s="616"/>
      <c r="P37" s="617"/>
      <c r="Q37" s="616"/>
    </row>
    <row r="38" spans="1:17" ht="13">
      <c r="A38" s="206"/>
      <c r="B38" s="13"/>
      <c r="C38" s="12"/>
      <c r="D38" s="624"/>
      <c r="E38" s="625"/>
      <c r="F38" s="626"/>
      <c r="G38" s="627"/>
      <c r="H38" s="626"/>
      <c r="I38" s="19"/>
      <c r="K38" s="200"/>
      <c r="M38" s="614"/>
      <c r="N38" s="615"/>
      <c r="O38" s="616"/>
      <c r="P38" s="617"/>
      <c r="Q38" s="616"/>
    </row>
    <row r="39" spans="1:17" ht="13">
      <c r="A39" s="206"/>
      <c r="B39" s="13"/>
      <c r="C39" s="12"/>
      <c r="D39" s="624"/>
      <c r="E39" s="628"/>
      <c r="F39" s="628"/>
      <c r="G39" s="66"/>
      <c r="H39" s="66"/>
      <c r="I39" s="105"/>
      <c r="J39" s="19"/>
      <c r="K39" s="200"/>
      <c r="M39" s="614"/>
      <c r="N39" s="628"/>
      <c r="O39" s="628"/>
      <c r="P39" s="35"/>
      <c r="Q39" s="35"/>
    </row>
    <row r="40" spans="1:17" ht="13">
      <c r="A40" s="206"/>
      <c r="B40" s="13"/>
      <c r="C40" s="12"/>
      <c r="D40" s="624"/>
      <c r="E40" s="628"/>
      <c r="F40" s="628"/>
      <c r="G40" s="66"/>
      <c r="H40" s="66"/>
      <c r="I40" s="105"/>
      <c r="J40" s="19"/>
      <c r="K40" s="200"/>
      <c r="M40" s="614"/>
      <c r="N40" s="628"/>
      <c r="O40" s="628"/>
      <c r="P40" s="35"/>
      <c r="Q40" s="35"/>
    </row>
    <row r="41" spans="1:17" ht="13">
      <c r="A41" s="206"/>
      <c r="B41" s="13"/>
      <c r="C41" s="12"/>
      <c r="D41" s="624"/>
      <c r="E41" s="628"/>
      <c r="F41" s="628"/>
      <c r="G41" s="66"/>
      <c r="H41" s="66"/>
      <c r="I41" s="105"/>
      <c r="J41" s="19"/>
      <c r="K41" s="200"/>
      <c r="M41" s="614"/>
      <c r="N41" s="628"/>
      <c r="O41" s="628"/>
      <c r="P41" s="35"/>
      <c r="Q41" s="35"/>
    </row>
    <row r="42" spans="1:17" ht="13">
      <c r="A42" s="206"/>
      <c r="B42" s="13"/>
      <c r="C42" s="12"/>
      <c r="D42" s="624"/>
      <c r="E42" s="628"/>
      <c r="F42" s="628"/>
      <c r="G42" s="66"/>
      <c r="H42" s="66"/>
      <c r="I42" s="105"/>
      <c r="J42" s="19"/>
      <c r="K42" s="200"/>
      <c r="M42" s="614"/>
      <c r="N42" s="628"/>
      <c r="O42" s="628"/>
      <c r="P42" s="35"/>
      <c r="Q42" s="35"/>
    </row>
    <row r="43" spans="1:17" ht="13">
      <c r="A43" s="206"/>
      <c r="B43" s="13"/>
      <c r="C43" s="12"/>
      <c r="D43" s="624"/>
      <c r="E43" s="628"/>
      <c r="F43" s="628"/>
      <c r="G43" s="66"/>
      <c r="H43" s="66"/>
      <c r="I43" s="105"/>
      <c r="J43" s="19"/>
      <c r="K43" s="200"/>
      <c r="M43" s="614"/>
      <c r="N43" s="628"/>
      <c r="O43" s="628"/>
      <c r="P43" s="35"/>
      <c r="Q43" s="35"/>
    </row>
    <row r="44" spans="1:17" ht="13">
      <c r="A44" s="206"/>
      <c r="B44" s="13"/>
      <c r="C44" s="12"/>
      <c r="D44" s="624"/>
      <c r="E44" s="628"/>
      <c r="F44" s="628"/>
      <c r="G44" s="66"/>
      <c r="H44" s="66"/>
      <c r="I44" s="105"/>
      <c r="J44" s="19"/>
      <c r="K44" s="200"/>
      <c r="M44" s="614"/>
      <c r="N44" s="628"/>
      <c r="O44" s="628"/>
      <c r="P44" s="35"/>
      <c r="Q44" s="35"/>
    </row>
    <row r="45" spans="1:17" ht="13">
      <c r="A45" s="206"/>
      <c r="B45" s="13"/>
      <c r="C45" s="12"/>
      <c r="D45" s="624"/>
      <c r="E45" s="628"/>
      <c r="F45" s="628"/>
      <c r="G45" s="66"/>
      <c r="H45" s="66"/>
      <c r="I45" s="105"/>
      <c r="J45" s="19"/>
      <c r="K45" s="200"/>
      <c r="M45" s="614"/>
      <c r="N45" s="628"/>
      <c r="O45" s="628"/>
      <c r="P45" s="35"/>
      <c r="Q45" s="35"/>
    </row>
    <row r="46" spans="1:17" ht="13">
      <c r="A46" s="206"/>
      <c r="B46" s="13"/>
      <c r="C46" s="12"/>
      <c r="D46" s="624"/>
      <c r="E46" s="628"/>
      <c r="F46" s="628"/>
      <c r="G46" s="66"/>
      <c r="H46" s="66"/>
      <c r="I46" s="105"/>
      <c r="J46" s="19"/>
      <c r="K46" s="200"/>
      <c r="M46" s="614"/>
      <c r="N46" s="628"/>
      <c r="O46" s="628"/>
      <c r="P46" s="35"/>
      <c r="Q46" s="35"/>
    </row>
    <row r="47" spans="1:17">
      <c r="A47" s="221"/>
      <c r="B47" s="27"/>
      <c r="C47" s="10"/>
      <c r="D47" s="373"/>
      <c r="E47" s="10"/>
      <c r="F47" s="341"/>
      <c r="G47" s="374"/>
      <c r="H47" s="341"/>
      <c r="I47" s="416"/>
      <c r="J47" s="54"/>
      <c r="K47" s="222"/>
      <c r="M47" s="223"/>
      <c r="N47" s="12"/>
      <c r="O47" s="224"/>
      <c r="P47" s="225"/>
      <c r="Q47" s="224"/>
    </row>
    <row r="48" spans="1:17">
      <c r="A48" s="47"/>
      <c r="B48" s="13"/>
      <c r="C48" s="12"/>
      <c r="D48" s="223"/>
      <c r="E48" s="12"/>
      <c r="F48" s="224"/>
      <c r="G48" s="225"/>
      <c r="H48" s="224"/>
      <c r="I48" s="199"/>
      <c r="J48" s="19"/>
      <c r="K48" s="19"/>
      <c r="L48" s="1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23" customFormat="1" ht="15" customHeight="1">
      <c r="B51" s="13"/>
      <c r="C51" s="12"/>
      <c r="D51" s="223"/>
      <c r="E51" s="12"/>
      <c r="F51" s="224"/>
      <c r="G51" s="225"/>
      <c r="H51" s="224"/>
      <c r="I51" s="129"/>
      <c r="M51" s="223"/>
      <c r="N51" s="12"/>
      <c r="O51" s="224"/>
      <c r="P51" s="225"/>
      <c r="Q51" s="224"/>
    </row>
    <row r="52" spans="2:17" s="123" customFormat="1">
      <c r="B52" s="13"/>
      <c r="C52" s="12"/>
      <c r="D52" s="223"/>
      <c r="E52" s="12"/>
      <c r="F52" s="224"/>
      <c r="G52" s="225"/>
      <c r="H52" s="224"/>
      <c r="I52" s="12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6"/>
      <c r="E81" s="227"/>
      <c r="F81" s="259"/>
      <c r="G81" s="229"/>
      <c r="H81" s="259"/>
      <c r="I81" s="199"/>
      <c r="M81" s="226"/>
      <c r="N81" s="227"/>
      <c r="O81" s="259"/>
      <c r="P81" s="229"/>
      <c r="Q81" s="259"/>
    </row>
    <row r="82" spans="2:17" s="19" customFormat="1">
      <c r="B82" s="13"/>
      <c r="C82" s="12"/>
      <c r="D82" s="226"/>
      <c r="E82" s="226"/>
      <c r="F82" s="226"/>
      <c r="G82" s="226"/>
      <c r="H82" s="226"/>
      <c r="I82" s="199"/>
      <c r="M82" s="226"/>
      <c r="N82" s="226"/>
      <c r="O82" s="226"/>
      <c r="P82" s="226"/>
      <c r="Q82" s="226"/>
    </row>
    <row r="83" spans="2:17" s="19" customFormat="1">
      <c r="B83" s="13"/>
      <c r="C83" s="12"/>
      <c r="D83" s="226"/>
      <c r="E83" s="226"/>
      <c r="F83" s="226"/>
      <c r="G83" s="226"/>
      <c r="H83" s="226"/>
      <c r="I83" s="199"/>
      <c r="M83" s="226"/>
      <c r="N83" s="226"/>
      <c r="O83" s="226"/>
      <c r="P83" s="226"/>
      <c r="Q83" s="226"/>
    </row>
    <row r="84" spans="2:17" s="19" customFormat="1">
      <c r="B84" s="13"/>
      <c r="C84" s="12"/>
      <c r="D84" s="230"/>
      <c r="E84" s="260"/>
      <c r="F84" s="226"/>
      <c r="G84" s="226"/>
      <c r="H84" s="226"/>
      <c r="I84" s="199"/>
      <c r="M84" s="230"/>
      <c r="N84" s="260"/>
      <c r="O84" s="226"/>
      <c r="P84" s="226"/>
      <c r="Q84" s="226"/>
    </row>
    <row r="85" spans="2:17" s="19" customFormat="1">
      <c r="B85" s="13"/>
      <c r="C85" s="12"/>
      <c r="D85" s="227"/>
      <c r="E85" s="260"/>
      <c r="F85" s="226"/>
      <c r="G85" s="226"/>
      <c r="H85" s="226"/>
      <c r="I85" s="199"/>
      <c r="M85" s="227"/>
      <c r="N85" s="260"/>
      <c r="O85" s="226"/>
      <c r="P85" s="226"/>
      <c r="Q85" s="226"/>
    </row>
    <row r="86" spans="2:17" s="19" customFormat="1">
      <c r="B86" s="13"/>
      <c r="C86" s="12"/>
      <c r="D86" s="226"/>
      <c r="E86" s="260"/>
      <c r="F86" s="226"/>
      <c r="G86" s="226"/>
      <c r="H86" s="226"/>
      <c r="I86" s="199"/>
      <c r="M86" s="226"/>
      <c r="N86" s="260"/>
      <c r="O86" s="226"/>
      <c r="P86" s="226"/>
      <c r="Q86" s="226"/>
    </row>
    <row r="87" spans="2:17" s="19" customFormat="1" ht="14">
      <c r="B87" s="226"/>
      <c r="C87" s="227"/>
      <c r="D87" s="232"/>
      <c r="E87" s="232"/>
      <c r="F87" s="232"/>
      <c r="G87" s="232"/>
      <c r="H87" s="232"/>
      <c r="I87" s="199"/>
      <c r="M87" s="232"/>
      <c r="N87" s="232"/>
      <c r="O87" s="232"/>
      <c r="P87" s="232"/>
      <c r="Q87" s="232"/>
    </row>
    <row r="88" spans="2:17" s="19" customFormat="1" ht="14">
      <c r="B88" s="123"/>
      <c r="C88" s="123"/>
      <c r="D88" s="232"/>
      <c r="E88" s="232"/>
      <c r="F88" s="232"/>
      <c r="G88" s="232"/>
      <c r="H88" s="232"/>
      <c r="I88" s="199"/>
      <c r="M88" s="232"/>
      <c r="N88" s="232"/>
      <c r="O88" s="232"/>
      <c r="P88" s="232"/>
      <c r="Q88" s="232"/>
    </row>
    <row r="89" spans="2:17" s="19" customFormat="1" ht="14">
      <c r="B89" s="123"/>
      <c r="C89" s="123"/>
      <c r="D89" s="233"/>
      <c r="E89" s="261"/>
      <c r="F89" s="232"/>
      <c r="G89" s="232"/>
      <c r="H89" s="232"/>
      <c r="I89" s="199"/>
      <c r="M89" s="233"/>
      <c r="N89" s="261"/>
      <c r="O89" s="232"/>
      <c r="P89" s="232"/>
      <c r="Q89" s="232"/>
    </row>
    <row r="90" spans="2:17" s="19" customFormat="1" ht="14">
      <c r="B90" s="230"/>
      <c r="C90" s="260"/>
      <c r="D90" s="235"/>
      <c r="E90" s="261"/>
      <c r="F90" s="232"/>
      <c r="G90" s="232"/>
      <c r="H90" s="232"/>
      <c r="I90" s="199"/>
      <c r="M90" s="235"/>
      <c r="N90" s="261"/>
      <c r="O90" s="232"/>
      <c r="P90" s="232"/>
      <c r="Q90" s="232"/>
    </row>
    <row r="91" spans="2:17" s="19" customFormat="1" ht="14">
      <c r="B91" s="236"/>
      <c r="C91" s="260"/>
      <c r="D91" s="232"/>
      <c r="E91" s="261"/>
      <c r="F91" s="232"/>
      <c r="G91" s="232"/>
      <c r="H91" s="232"/>
      <c r="I91" s="199"/>
      <c r="M91" s="232"/>
      <c r="N91" s="261"/>
      <c r="O91" s="232"/>
      <c r="P91" s="232"/>
      <c r="Q91" s="232"/>
    </row>
    <row r="92" spans="2:17" s="19" customFormat="1">
      <c r="C92" s="260"/>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1796875" style="124" customWidth="1"/>
    <col min="4" max="4" width="20.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29.179687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204</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98"/>
      <c r="C12" s="198"/>
      <c r="D12" s="19"/>
      <c r="E12" s="19"/>
      <c r="F12" s="19"/>
      <c r="G12" s="19"/>
      <c r="H12" s="19"/>
      <c r="I12" s="19"/>
      <c r="J12" s="19"/>
      <c r="K12" s="139"/>
      <c r="M12" s="19"/>
      <c r="N12" s="19"/>
      <c r="O12" s="19"/>
      <c r="P12" s="19"/>
      <c r="Q12" s="19"/>
    </row>
    <row r="13" spans="1:17" ht="29">
      <c r="A13" s="206"/>
      <c r="B13" s="13"/>
      <c r="C13" s="12"/>
      <c r="D13" s="519" t="s">
        <v>590</v>
      </c>
      <c r="E13" s="552" t="s">
        <v>72</v>
      </c>
      <c r="F13" s="520" t="s">
        <v>114</v>
      </c>
      <c r="G13" s="521" t="s">
        <v>62</v>
      </c>
      <c r="H13" s="553" t="s">
        <v>115</v>
      </c>
      <c r="I13" s="19"/>
      <c r="J13" s="19"/>
      <c r="K13" s="200"/>
      <c r="M13" s="240"/>
      <c r="N13" s="243"/>
      <c r="O13" s="241"/>
      <c r="P13" s="516"/>
      <c r="Q13" s="516"/>
    </row>
    <row r="14" spans="1:17">
      <c r="A14" s="206"/>
      <c r="B14" s="13"/>
      <c r="C14" s="12"/>
      <c r="D14" s="572" t="s">
        <v>699</v>
      </c>
      <c r="E14" s="573">
        <f t="shared" ref="E14:E27" si="0">VLOOKUP(CONCATENATE("interest_",D14),Assets_Daten,3,0)</f>
        <v>35447.449999999997</v>
      </c>
      <c r="F14" s="574">
        <f>E14/$E$28</f>
        <v>7.1953609228133091E-5</v>
      </c>
      <c r="G14" s="575">
        <f t="shared" ref="G14:G27" si="1">VLOOKUP(CONCATENATE("interest_",D14),Assets_Daten,2,0)</f>
        <v>58</v>
      </c>
      <c r="H14" s="576">
        <f>G14/$G$28</f>
        <v>1.6248774338142597E-3</v>
      </c>
      <c r="I14" s="19"/>
      <c r="J14" s="19"/>
      <c r="K14" s="200"/>
      <c r="M14" s="577"/>
      <c r="N14" s="578"/>
      <c r="O14" s="579"/>
      <c r="P14" s="580"/>
      <c r="Q14" s="579"/>
    </row>
    <row r="15" spans="1:17">
      <c r="A15" s="206"/>
      <c r="B15" s="13"/>
      <c r="C15" s="12"/>
      <c r="D15" s="572" t="s">
        <v>700</v>
      </c>
      <c r="E15" s="573">
        <f t="shared" si="0"/>
        <v>1628195.5900000008</v>
      </c>
      <c r="F15" s="574">
        <f t="shared" ref="F15:F27" si="2">E15/$E$28</f>
        <v>3.3050205086636603E-3</v>
      </c>
      <c r="G15" s="575">
        <f t="shared" si="1"/>
        <v>245</v>
      </c>
      <c r="H15" s="576">
        <f t="shared" ref="H15:H27" si="3">G15/$G$28</f>
        <v>6.8637064014567869E-3</v>
      </c>
      <c r="I15" s="19"/>
      <c r="J15" s="19"/>
      <c r="K15" s="200"/>
      <c r="M15" s="577"/>
      <c r="N15" s="578"/>
      <c r="O15" s="579"/>
      <c r="P15" s="580"/>
      <c r="Q15" s="579"/>
    </row>
    <row r="16" spans="1:17">
      <c r="A16" s="206"/>
      <c r="B16" s="13"/>
      <c r="C16" s="12"/>
      <c r="D16" s="572" t="s">
        <v>701</v>
      </c>
      <c r="E16" s="573">
        <f t="shared" si="0"/>
        <v>18598269.219999991</v>
      </c>
      <c r="F16" s="574">
        <f t="shared" si="2"/>
        <v>3.7752013072181359E-2</v>
      </c>
      <c r="G16" s="575">
        <f t="shared" si="1"/>
        <v>1757</v>
      </c>
      <c r="H16" s="576">
        <f t="shared" si="3"/>
        <v>4.9222580193304381E-2</v>
      </c>
      <c r="I16" s="19"/>
      <c r="J16" s="19"/>
      <c r="K16" s="200"/>
      <c r="M16" s="577"/>
      <c r="N16" s="578"/>
      <c r="O16" s="579"/>
      <c r="P16" s="580"/>
      <c r="Q16" s="579"/>
    </row>
    <row r="17" spans="1:17">
      <c r="A17" s="206"/>
      <c r="B17" s="13"/>
      <c r="C17" s="12"/>
      <c r="D17" s="572" t="s">
        <v>702</v>
      </c>
      <c r="E17" s="573">
        <f t="shared" si="0"/>
        <v>13835142.350000003</v>
      </c>
      <c r="F17" s="574">
        <f t="shared" si="2"/>
        <v>2.8083498989842578E-2</v>
      </c>
      <c r="G17" s="575">
        <f t="shared" si="1"/>
        <v>1252</v>
      </c>
      <c r="H17" s="576">
        <f t="shared" si="3"/>
        <v>3.5074940467852637E-2</v>
      </c>
      <c r="I17" s="19"/>
      <c r="J17" s="19"/>
      <c r="K17" s="200"/>
      <c r="M17" s="577"/>
      <c r="N17" s="578"/>
      <c r="O17" s="579"/>
      <c r="P17" s="580"/>
      <c r="Q17" s="579"/>
    </row>
    <row r="18" spans="1:17">
      <c r="A18" s="206"/>
      <c r="B18" s="13"/>
      <c r="C18" s="12"/>
      <c r="D18" s="572" t="s">
        <v>703</v>
      </c>
      <c r="E18" s="573">
        <f t="shared" si="0"/>
        <v>26720127.530000016</v>
      </c>
      <c r="F18" s="574">
        <f t="shared" si="2"/>
        <v>5.4238305289082918E-2</v>
      </c>
      <c r="G18" s="575">
        <f t="shared" si="1"/>
        <v>2082</v>
      </c>
      <c r="H18" s="576">
        <f t="shared" si="3"/>
        <v>5.8327496848298084E-2</v>
      </c>
      <c r="I18" s="19"/>
      <c r="J18" s="19"/>
      <c r="K18" s="200"/>
      <c r="M18" s="577"/>
      <c r="N18" s="578"/>
      <c r="O18" s="579"/>
      <c r="P18" s="580"/>
      <c r="Q18" s="579"/>
    </row>
    <row r="19" spans="1:17">
      <c r="A19" s="206"/>
      <c r="B19" s="13"/>
      <c r="C19" s="12"/>
      <c r="D19" s="572" t="s">
        <v>704</v>
      </c>
      <c r="E19" s="573">
        <f t="shared" si="0"/>
        <v>50847757.870000079</v>
      </c>
      <c r="F19" s="574">
        <f t="shared" si="2"/>
        <v>0.10321418606711386</v>
      </c>
      <c r="G19" s="575">
        <f t="shared" si="1"/>
        <v>3291</v>
      </c>
      <c r="H19" s="576">
        <f t="shared" si="3"/>
        <v>9.2197786804874629E-2</v>
      </c>
      <c r="I19" s="19"/>
      <c r="J19" s="19"/>
      <c r="K19" s="200"/>
      <c r="M19" s="577"/>
      <c r="N19" s="578"/>
      <c r="O19" s="579"/>
      <c r="P19" s="580"/>
      <c r="Q19" s="579"/>
    </row>
    <row r="20" spans="1:17">
      <c r="A20" s="206"/>
      <c r="B20" s="13"/>
      <c r="C20" s="12"/>
      <c r="D20" s="572" t="s">
        <v>705</v>
      </c>
      <c r="E20" s="573">
        <f t="shared" si="0"/>
        <v>66239493.330000214</v>
      </c>
      <c r="F20" s="574">
        <f t="shared" si="2"/>
        <v>0.13445736205386746</v>
      </c>
      <c r="G20" s="575">
        <f t="shared" si="1"/>
        <v>4519</v>
      </c>
      <c r="H20" s="576">
        <f t="shared" si="3"/>
        <v>0.1266003641966662</v>
      </c>
      <c r="I20" s="19"/>
      <c r="J20" s="19"/>
      <c r="K20" s="200"/>
      <c r="M20" s="577"/>
      <c r="N20" s="578"/>
      <c r="O20" s="579"/>
      <c r="P20" s="580"/>
      <c r="Q20" s="579"/>
    </row>
    <row r="21" spans="1:17">
      <c r="A21" s="206"/>
      <c r="B21" s="13"/>
      <c r="C21" s="12"/>
      <c r="D21" s="121" t="s">
        <v>706</v>
      </c>
      <c r="E21" s="573">
        <f t="shared" si="0"/>
        <v>101722945.22000007</v>
      </c>
      <c r="F21" s="574">
        <f t="shared" si="2"/>
        <v>0.20648405033069162</v>
      </c>
      <c r="G21" s="575">
        <f t="shared" si="1"/>
        <v>6821</v>
      </c>
      <c r="H21" s="576">
        <f t="shared" si="3"/>
        <v>0.19109118924219079</v>
      </c>
      <c r="I21" s="581"/>
      <c r="J21" s="19"/>
      <c r="K21" s="200"/>
      <c r="M21" s="577"/>
      <c r="N21" s="578"/>
      <c r="O21" s="579"/>
      <c r="P21" s="580"/>
      <c r="Q21" s="579"/>
    </row>
    <row r="22" spans="1:17">
      <c r="A22" s="206"/>
      <c r="B22" s="13"/>
      <c r="C22" s="12"/>
      <c r="D22" s="572" t="s">
        <v>707</v>
      </c>
      <c r="E22" s="573">
        <f t="shared" si="0"/>
        <v>116745916.3000007</v>
      </c>
      <c r="F22" s="574">
        <f t="shared" si="2"/>
        <v>0.23697868366922259</v>
      </c>
      <c r="G22" s="575">
        <f t="shared" si="1"/>
        <v>7828</v>
      </c>
      <c r="H22" s="576">
        <f t="shared" si="3"/>
        <v>0.21930242330858662</v>
      </c>
      <c r="I22" s="19"/>
      <c r="J22" s="19"/>
      <c r="K22" s="200"/>
      <c r="M22" s="577"/>
      <c r="N22" s="578"/>
      <c r="O22" s="579"/>
      <c r="P22" s="580"/>
      <c r="Q22" s="579"/>
    </row>
    <row r="23" spans="1:17">
      <c r="A23" s="206"/>
      <c r="B23" s="13"/>
      <c r="C23" s="12"/>
      <c r="D23" s="572" t="s">
        <v>708</v>
      </c>
      <c r="E23" s="573">
        <f t="shared" si="0"/>
        <v>62974272.519999988</v>
      </c>
      <c r="F23" s="574">
        <f t="shared" si="2"/>
        <v>0.12782939806192095</v>
      </c>
      <c r="G23" s="575">
        <f t="shared" si="1"/>
        <v>4881</v>
      </c>
      <c r="H23" s="576">
        <f t="shared" si="3"/>
        <v>0.13674184059392072</v>
      </c>
      <c r="I23" s="19"/>
      <c r="J23" s="19"/>
      <c r="K23" s="200"/>
      <c r="M23" s="577"/>
      <c r="N23" s="578"/>
      <c r="O23" s="579"/>
      <c r="P23" s="580"/>
      <c r="Q23" s="579"/>
    </row>
    <row r="24" spans="1:17" ht="12.75" customHeight="1">
      <c r="A24" s="206"/>
      <c r="B24" s="13"/>
      <c r="C24" s="12"/>
      <c r="D24" s="582" t="s">
        <v>709</v>
      </c>
      <c r="E24" s="573">
        <f t="shared" si="0"/>
        <v>22057747.72000001</v>
      </c>
      <c r="F24" s="574">
        <f t="shared" si="2"/>
        <v>4.4774294339864344E-2</v>
      </c>
      <c r="G24" s="575">
        <f t="shared" si="1"/>
        <v>1816</v>
      </c>
      <c r="H24" s="576">
        <f t="shared" si="3"/>
        <v>5.0875472755287858E-2</v>
      </c>
      <c r="I24" s="583"/>
      <c r="J24" s="19"/>
      <c r="K24" s="200"/>
      <c r="M24" s="584"/>
      <c r="N24" s="578"/>
      <c r="O24" s="579"/>
      <c r="P24" s="580"/>
      <c r="Q24" s="579"/>
    </row>
    <row r="25" spans="1:17">
      <c r="A25" s="206"/>
      <c r="B25" s="13"/>
      <c r="C25" s="12"/>
      <c r="D25" s="582" t="s">
        <v>710</v>
      </c>
      <c r="E25" s="573">
        <f t="shared" si="0"/>
        <v>8086808.3100000042</v>
      </c>
      <c r="F25" s="574">
        <f t="shared" si="2"/>
        <v>1.6415145378315215E-2</v>
      </c>
      <c r="G25" s="575">
        <f t="shared" si="1"/>
        <v>777</v>
      </c>
      <c r="H25" s="576">
        <f t="shared" si="3"/>
        <v>2.1767754587477237E-2</v>
      </c>
      <c r="I25" s="19"/>
      <c r="J25" s="19"/>
      <c r="K25" s="200"/>
      <c r="M25" s="584"/>
      <c r="N25" s="578"/>
      <c r="O25" s="579"/>
      <c r="P25" s="580"/>
      <c r="Q25" s="579"/>
    </row>
    <row r="26" spans="1:17">
      <c r="A26" s="206"/>
      <c r="B26" s="13"/>
      <c r="C26" s="12"/>
      <c r="D26" s="582" t="s">
        <v>711</v>
      </c>
      <c r="E26" s="573">
        <f t="shared" si="0"/>
        <v>2188313.3000000003</v>
      </c>
      <c r="F26" s="574">
        <f t="shared" si="2"/>
        <v>4.4419849680844854E-3</v>
      </c>
      <c r="G26" s="575">
        <f t="shared" si="1"/>
        <v>200</v>
      </c>
      <c r="H26" s="576">
        <f t="shared" si="3"/>
        <v>5.6030256338422749E-3</v>
      </c>
      <c r="I26" s="19"/>
      <c r="J26" s="19"/>
      <c r="K26" s="200"/>
      <c r="M26" s="584"/>
      <c r="N26" s="578"/>
      <c r="O26" s="579"/>
      <c r="P26" s="580"/>
      <c r="Q26" s="579"/>
    </row>
    <row r="27" spans="1:17" ht="13" thickBot="1">
      <c r="A27" s="206"/>
      <c r="B27" s="13"/>
      <c r="C27" s="12"/>
      <c r="D27" s="582" t="s">
        <v>712</v>
      </c>
      <c r="E27" s="573">
        <f t="shared" si="0"/>
        <v>962675.70999999973</v>
      </c>
      <c r="F27" s="574">
        <f t="shared" si="2"/>
        <v>1.9541036619208311E-3</v>
      </c>
      <c r="G27" s="575">
        <f t="shared" si="1"/>
        <v>168</v>
      </c>
      <c r="H27" s="576">
        <f t="shared" si="3"/>
        <v>4.7065415324275108E-3</v>
      </c>
      <c r="I27" s="19"/>
      <c r="J27" s="19"/>
      <c r="K27" s="200"/>
      <c r="M27" s="584"/>
      <c r="N27" s="578"/>
      <c r="O27" s="579"/>
      <c r="P27" s="580"/>
      <c r="Q27" s="579"/>
    </row>
    <row r="28" spans="1:17" ht="14" thickTop="1" thickBot="1">
      <c r="A28" s="206"/>
      <c r="B28" s="13"/>
      <c r="C28" s="12"/>
      <c r="D28" s="547" t="s">
        <v>36</v>
      </c>
      <c r="E28" s="564">
        <f>SUM(E14:E27)</f>
        <v>492643112.42000109</v>
      </c>
      <c r="F28" s="926">
        <f>SUM(F14:F27)</f>
        <v>1</v>
      </c>
      <c r="G28" s="585">
        <f>SUM(G14:G27)</f>
        <v>35695</v>
      </c>
      <c r="H28" s="927">
        <f>SUM(H14:H27)</f>
        <v>1</v>
      </c>
      <c r="I28" s="19"/>
      <c r="J28" s="19"/>
      <c r="K28" s="200"/>
      <c r="M28" s="35"/>
      <c r="N28" s="529"/>
      <c r="O28" s="586"/>
      <c r="P28" s="587"/>
      <c r="Q28" s="586"/>
    </row>
    <row r="29" spans="1:17">
      <c r="A29" s="206"/>
      <c r="B29" s="13"/>
      <c r="C29" s="12"/>
      <c r="D29" s="105"/>
      <c r="E29" s="588"/>
      <c r="F29" s="105"/>
      <c r="G29" s="105"/>
      <c r="H29" s="105"/>
      <c r="I29" s="19"/>
      <c r="J29" s="199"/>
      <c r="K29" s="200"/>
      <c r="N29" s="236"/>
    </row>
    <row r="30" spans="1:17">
      <c r="A30" s="206"/>
      <c r="B30" s="13"/>
      <c r="C30" s="12"/>
      <c r="E30" s="260"/>
      <c r="F30" s="105"/>
      <c r="G30" s="589"/>
      <c r="H30" s="105"/>
      <c r="I30" s="19"/>
      <c r="J30" s="199"/>
      <c r="K30" s="200"/>
      <c r="N30" s="260"/>
      <c r="P30" s="590"/>
    </row>
    <row r="31" spans="1:17" ht="13.5" thickBot="1">
      <c r="A31" s="206"/>
      <c r="B31" s="13"/>
      <c r="C31" s="12"/>
      <c r="D31" s="591" t="s">
        <v>70</v>
      </c>
      <c r="E31" s="591" t="s">
        <v>8</v>
      </c>
      <c r="F31" s="105"/>
      <c r="G31" s="105"/>
      <c r="H31" s="105"/>
      <c r="I31" s="19"/>
      <c r="J31" s="199"/>
      <c r="K31" s="200"/>
      <c r="M31" s="528"/>
      <c r="N31" s="528"/>
    </row>
    <row r="32" spans="1:17" ht="13" thickBot="1">
      <c r="A32" s="206"/>
      <c r="B32" s="13"/>
      <c r="C32" s="12"/>
      <c r="D32" s="535" t="s">
        <v>65</v>
      </c>
      <c r="E32" s="911">
        <f>VLOOKUP(CONCATENATE("interest_",D32),Assets_Daten,3,0)</f>
        <v>7.6603870090610274E-2</v>
      </c>
      <c r="F32" s="105"/>
      <c r="G32" s="592"/>
      <c r="H32" s="592"/>
      <c r="I32" s="19"/>
      <c r="J32" s="199"/>
      <c r="K32" s="200"/>
      <c r="M32" s="593"/>
      <c r="N32" s="594"/>
      <c r="P32" s="592"/>
      <c r="Q32" s="592"/>
    </row>
    <row r="33" spans="1:17">
      <c r="A33" s="206"/>
      <c r="B33" s="13"/>
      <c r="C33" s="12"/>
      <c r="D33" s="595"/>
      <c r="E33" s="594"/>
      <c r="F33" s="105"/>
      <c r="G33" s="596"/>
      <c r="H33" s="596"/>
      <c r="I33" s="19"/>
      <c r="J33" s="199"/>
      <c r="K33" s="200"/>
      <c r="M33" s="595"/>
      <c r="N33" s="594"/>
      <c r="P33" s="596"/>
      <c r="Q33" s="596"/>
    </row>
    <row r="34" spans="1:17" ht="14.5">
      <c r="A34" s="206"/>
      <c r="B34" s="13"/>
      <c r="C34" s="12"/>
      <c r="D34" s="571" t="s">
        <v>589</v>
      </c>
      <c r="E34" s="594"/>
      <c r="F34" s="105"/>
      <c r="G34" s="105"/>
      <c r="H34" s="105"/>
      <c r="I34" s="19"/>
      <c r="J34" s="199"/>
      <c r="K34" s="200"/>
      <c r="M34" s="115"/>
      <c r="N34" s="594"/>
    </row>
    <row r="35" spans="1:17">
      <c r="A35" s="206"/>
      <c r="B35" s="13"/>
      <c r="C35" s="12"/>
      <c r="D35" s="115"/>
      <c r="E35" s="597"/>
      <c r="F35" s="105"/>
      <c r="G35" s="105"/>
      <c r="H35" s="105"/>
      <c r="I35" s="19"/>
      <c r="J35" s="199"/>
      <c r="K35" s="200"/>
      <c r="M35" s="115"/>
      <c r="N35" s="594"/>
    </row>
    <row r="36" spans="1:17">
      <c r="A36" s="206"/>
      <c r="B36" s="13"/>
      <c r="C36" s="12"/>
      <c r="D36" s="115"/>
      <c r="E36" s="597"/>
      <c r="F36" s="105"/>
      <c r="G36" s="105"/>
      <c r="H36" s="105"/>
      <c r="I36" s="19"/>
      <c r="J36" s="199"/>
      <c r="K36" s="200"/>
      <c r="M36" s="115"/>
      <c r="N36" s="594"/>
    </row>
    <row r="37" spans="1:17">
      <c r="A37" s="206"/>
      <c r="B37" s="13"/>
      <c r="C37" s="12"/>
      <c r="D37" s="19"/>
      <c r="E37" s="19"/>
      <c r="F37" s="19"/>
      <c r="G37" s="19"/>
      <c r="H37" s="19"/>
      <c r="I37" s="19"/>
      <c r="J37" s="199"/>
      <c r="K37" s="200"/>
    </row>
    <row r="38" spans="1:17" ht="12" customHeight="1">
      <c r="A38" s="206"/>
      <c r="B38" s="13"/>
      <c r="C38" s="12"/>
      <c r="D38" s="598"/>
      <c r="E38" s="19"/>
      <c r="F38" s="19"/>
      <c r="G38" s="19"/>
      <c r="H38" s="19"/>
      <c r="I38" s="19"/>
      <c r="J38" s="19"/>
      <c r="K38" s="200"/>
      <c r="M38" s="598"/>
    </row>
    <row r="39" spans="1:17">
      <c r="A39" s="206"/>
      <c r="B39" s="13"/>
      <c r="C39" s="12"/>
      <c r="D39" s="19"/>
      <c r="E39" s="19"/>
      <c r="F39" s="19"/>
      <c r="G39" s="19"/>
      <c r="H39" s="19"/>
      <c r="I39" s="199"/>
      <c r="J39" s="19"/>
      <c r="K39" s="200"/>
    </row>
    <row r="40" spans="1:17" ht="14.5">
      <c r="A40" s="206"/>
      <c r="B40" s="13"/>
      <c r="C40" s="12"/>
      <c r="D40" s="240"/>
      <c r="E40" s="243"/>
      <c r="F40" s="241"/>
      <c r="G40" s="516"/>
      <c r="H40" s="516"/>
      <c r="I40" s="199"/>
      <c r="J40" s="19"/>
      <c r="K40" s="200"/>
      <c r="L40" s="19"/>
      <c r="M40" s="240"/>
      <c r="N40" s="243"/>
      <c r="O40" s="241"/>
      <c r="P40" s="516"/>
      <c r="Q40" s="516"/>
    </row>
    <row r="41" spans="1:17" s="19" customFormat="1">
      <c r="A41" s="206"/>
      <c r="B41" s="13"/>
      <c r="C41" s="12"/>
      <c r="D41" s="599"/>
      <c r="E41" s="578"/>
      <c r="F41" s="579"/>
      <c r="G41" s="580"/>
      <c r="H41" s="579"/>
      <c r="I41" s="199"/>
      <c r="K41" s="200"/>
      <c r="M41" s="599"/>
      <c r="N41" s="578"/>
      <c r="O41" s="579"/>
      <c r="P41" s="580"/>
      <c r="Q41" s="579"/>
    </row>
    <row r="42" spans="1:17" s="19" customFormat="1">
      <c r="A42" s="206"/>
      <c r="B42" s="13"/>
      <c r="C42" s="12"/>
      <c r="D42" s="599"/>
      <c r="E42" s="578"/>
      <c r="F42" s="579"/>
      <c r="G42" s="580"/>
      <c r="H42" s="579"/>
      <c r="I42" s="199"/>
      <c r="K42" s="200"/>
      <c r="M42" s="599"/>
      <c r="N42" s="578"/>
      <c r="O42" s="579"/>
      <c r="P42" s="580"/>
      <c r="Q42" s="579"/>
    </row>
    <row r="43" spans="1:17" s="123" customFormat="1" ht="15" customHeight="1">
      <c r="A43" s="133"/>
      <c r="B43" s="13"/>
      <c r="C43" s="12"/>
      <c r="D43" s="35"/>
      <c r="E43" s="529"/>
      <c r="F43" s="586"/>
      <c r="G43" s="587"/>
      <c r="H43" s="586"/>
      <c r="I43" s="199"/>
      <c r="K43" s="139"/>
      <c r="M43" s="35"/>
      <c r="N43" s="529"/>
      <c r="O43" s="586"/>
      <c r="P43" s="587"/>
      <c r="Q43" s="586"/>
    </row>
    <row r="44" spans="1:17" s="123" customFormat="1">
      <c r="A44" s="133"/>
      <c r="B44" s="13"/>
      <c r="C44" s="12"/>
      <c r="D44" s="223"/>
      <c r="E44" s="12"/>
      <c r="F44" s="224"/>
      <c r="G44" s="225"/>
      <c r="H44" s="224"/>
      <c r="I44" s="199"/>
      <c r="K44" s="139"/>
      <c r="M44" s="223"/>
      <c r="N44" s="12"/>
      <c r="O44" s="224"/>
      <c r="P44" s="225"/>
      <c r="Q44" s="224"/>
    </row>
    <row r="45" spans="1:17" s="123" customFormat="1">
      <c r="A45" s="133"/>
      <c r="B45" s="13"/>
      <c r="C45" s="12"/>
      <c r="D45" s="223"/>
      <c r="E45" s="12"/>
      <c r="F45" s="224"/>
      <c r="G45" s="225"/>
      <c r="H45" s="224"/>
      <c r="I45" s="199"/>
      <c r="K45" s="139"/>
      <c r="M45" s="223"/>
      <c r="N45" s="12"/>
      <c r="O45" s="224"/>
      <c r="P45" s="225"/>
      <c r="Q45" s="224"/>
    </row>
    <row r="46" spans="1:17" s="123" customFormat="1">
      <c r="A46" s="133"/>
      <c r="B46" s="13"/>
      <c r="C46" s="12"/>
      <c r="D46" s="223"/>
      <c r="E46" s="12"/>
      <c r="F46" s="224"/>
      <c r="G46" s="225"/>
      <c r="H46" s="224"/>
      <c r="I46" s="199"/>
      <c r="K46" s="139"/>
      <c r="M46" s="223"/>
      <c r="N46" s="12"/>
      <c r="O46" s="224"/>
      <c r="P46" s="225"/>
      <c r="Q46" s="224"/>
    </row>
    <row r="47" spans="1:17" s="19" customFormat="1">
      <c r="A47" s="221"/>
      <c r="B47" s="27"/>
      <c r="C47" s="10"/>
      <c r="D47" s="373"/>
      <c r="E47" s="10"/>
      <c r="F47" s="341"/>
      <c r="G47" s="374"/>
      <c r="H47" s="341"/>
      <c r="I47" s="416"/>
      <c r="J47" s="54"/>
      <c r="K47" s="222"/>
      <c r="M47" s="223"/>
      <c r="N47" s="12"/>
      <c r="O47" s="224"/>
      <c r="P47" s="225"/>
      <c r="Q47" s="224"/>
    </row>
    <row r="48" spans="1:17" s="19" customFormat="1">
      <c r="B48" s="13"/>
      <c r="C48" s="12"/>
      <c r="D48" s="223"/>
      <c r="E48" s="12"/>
      <c r="F48" s="224"/>
      <c r="G48" s="225"/>
      <c r="H48" s="224"/>
      <c r="I48" s="199"/>
      <c r="M48" s="223"/>
      <c r="N48" s="12"/>
      <c r="O48" s="224"/>
      <c r="P48" s="225"/>
      <c r="Q48" s="224"/>
    </row>
    <row r="49" spans="2:17" s="19" customFormat="1">
      <c r="B49" s="13"/>
      <c r="C49" s="12"/>
      <c r="D49" s="223"/>
      <c r="E49" s="12"/>
      <c r="F49" s="224"/>
      <c r="G49" s="225"/>
      <c r="H49" s="224"/>
      <c r="I49" s="199"/>
      <c r="M49" s="223"/>
      <c r="N49" s="12"/>
      <c r="O49" s="224"/>
      <c r="P49" s="225"/>
      <c r="Q49" s="224"/>
    </row>
    <row r="50" spans="2:17" s="19" customFormat="1">
      <c r="B50" s="13"/>
      <c r="C50" s="12"/>
      <c r="D50" s="223"/>
      <c r="E50" s="12"/>
      <c r="F50" s="224"/>
      <c r="G50" s="225"/>
      <c r="H50" s="224"/>
      <c r="I50" s="199"/>
      <c r="M50" s="223"/>
      <c r="N50" s="12"/>
      <c r="O50" s="224"/>
      <c r="P50" s="225"/>
      <c r="Q50" s="224"/>
    </row>
    <row r="51" spans="2:17" s="19" customFormat="1">
      <c r="B51" s="13"/>
      <c r="C51" s="12"/>
      <c r="D51" s="223"/>
      <c r="E51" s="12"/>
      <c r="F51" s="224"/>
      <c r="G51" s="225"/>
      <c r="H51" s="224"/>
      <c r="I51" s="199"/>
      <c r="M51" s="223"/>
      <c r="N51" s="12"/>
      <c r="O51" s="224"/>
      <c r="P51" s="225"/>
      <c r="Q51" s="224"/>
    </row>
    <row r="52" spans="2:17" s="19" customFormat="1">
      <c r="B52" s="13"/>
      <c r="C52" s="12"/>
      <c r="D52" s="223"/>
      <c r="E52" s="12"/>
      <c r="F52" s="224"/>
      <c r="G52" s="225"/>
      <c r="H52" s="224"/>
      <c r="I52" s="199"/>
      <c r="M52" s="223"/>
      <c r="N52" s="12"/>
      <c r="O52" s="224"/>
      <c r="P52" s="225"/>
      <c r="Q52" s="224"/>
    </row>
    <row r="53" spans="2:17" s="19" customFormat="1">
      <c r="B53" s="13"/>
      <c r="C53" s="12"/>
      <c r="D53" s="223"/>
      <c r="E53" s="12"/>
      <c r="F53" s="224"/>
      <c r="G53" s="225"/>
      <c r="H53" s="224"/>
      <c r="I53" s="199"/>
      <c r="M53" s="223"/>
      <c r="N53" s="12"/>
      <c r="O53" s="224"/>
      <c r="P53" s="225"/>
      <c r="Q53" s="224"/>
    </row>
    <row r="54" spans="2:17" s="19" customFormat="1">
      <c r="B54" s="13"/>
      <c r="C54" s="12"/>
      <c r="D54" s="223"/>
      <c r="E54" s="12"/>
      <c r="F54" s="224"/>
      <c r="G54" s="225"/>
      <c r="H54" s="224"/>
      <c r="I54" s="199"/>
      <c r="M54" s="223"/>
      <c r="N54" s="12"/>
      <c r="O54" s="224"/>
      <c r="P54" s="225"/>
      <c r="Q54" s="224"/>
    </row>
    <row r="55" spans="2:17" s="19" customFormat="1">
      <c r="B55" s="13"/>
      <c r="C55" s="12"/>
      <c r="D55" s="223"/>
      <c r="E55" s="12"/>
      <c r="F55" s="224"/>
      <c r="G55" s="225"/>
      <c r="H55" s="224"/>
      <c r="I55" s="199"/>
      <c r="M55" s="223"/>
      <c r="N55" s="12"/>
      <c r="O55" s="224"/>
      <c r="P55" s="225"/>
      <c r="Q55" s="224"/>
    </row>
    <row r="56" spans="2:17" s="19" customFormat="1">
      <c r="B56" s="13"/>
      <c r="C56" s="12"/>
      <c r="D56" s="223"/>
      <c r="E56" s="12"/>
      <c r="F56" s="224"/>
      <c r="G56" s="225"/>
      <c r="H56" s="224"/>
      <c r="I56" s="199"/>
      <c r="M56" s="223"/>
      <c r="N56" s="12"/>
      <c r="O56" s="224"/>
      <c r="P56" s="225"/>
      <c r="Q56" s="224"/>
    </row>
    <row r="57" spans="2:17" s="19" customFormat="1">
      <c r="B57" s="13"/>
      <c r="C57" s="12"/>
      <c r="D57" s="223"/>
      <c r="E57" s="12"/>
      <c r="F57" s="224"/>
      <c r="G57" s="225"/>
      <c r="H57" s="224"/>
      <c r="I57" s="199"/>
      <c r="M57" s="223"/>
      <c r="N57" s="12"/>
      <c r="O57" s="224"/>
      <c r="P57" s="225"/>
      <c r="Q57" s="224"/>
    </row>
    <row r="58" spans="2:17" s="19" customFormat="1">
      <c r="B58" s="13"/>
      <c r="C58" s="12"/>
      <c r="D58" s="223"/>
      <c r="E58" s="12"/>
      <c r="F58" s="224"/>
      <c r="G58" s="225"/>
      <c r="H58" s="224"/>
      <c r="I58" s="199"/>
      <c r="M58" s="223"/>
      <c r="N58" s="12"/>
      <c r="O58" s="224"/>
      <c r="P58" s="225"/>
      <c r="Q58" s="224"/>
    </row>
    <row r="59" spans="2:17" s="19" customFormat="1">
      <c r="B59" s="13"/>
      <c r="C59" s="12"/>
      <c r="D59" s="223"/>
      <c r="E59" s="12"/>
      <c r="F59" s="224"/>
      <c r="G59" s="225"/>
      <c r="H59" s="224"/>
      <c r="I59" s="199"/>
      <c r="M59" s="223"/>
      <c r="N59" s="12"/>
      <c r="O59" s="224"/>
      <c r="P59" s="225"/>
      <c r="Q59" s="224"/>
    </row>
    <row r="60" spans="2:17" s="19" customFormat="1">
      <c r="B60" s="13"/>
      <c r="C60" s="12"/>
      <c r="D60" s="223"/>
      <c r="E60" s="12"/>
      <c r="F60" s="224"/>
      <c r="G60" s="225"/>
      <c r="H60" s="224"/>
      <c r="I60" s="199"/>
      <c r="M60" s="223"/>
      <c r="N60" s="12"/>
      <c r="O60" s="224"/>
      <c r="P60" s="225"/>
      <c r="Q60" s="224"/>
    </row>
    <row r="61" spans="2:17" s="19" customFormat="1">
      <c r="B61" s="13"/>
      <c r="C61" s="12"/>
      <c r="D61" s="223"/>
      <c r="E61" s="12"/>
      <c r="F61" s="224"/>
      <c r="G61" s="225"/>
      <c r="H61" s="224"/>
      <c r="I61" s="199"/>
      <c r="M61" s="223"/>
      <c r="N61" s="12"/>
      <c r="O61" s="224"/>
      <c r="P61" s="225"/>
      <c r="Q61" s="224"/>
    </row>
    <row r="62" spans="2:17" s="19" customFormat="1">
      <c r="B62" s="13"/>
      <c r="C62" s="12"/>
      <c r="D62" s="223"/>
      <c r="E62" s="12"/>
      <c r="F62" s="224"/>
      <c r="G62" s="225"/>
      <c r="H62" s="224"/>
      <c r="I62" s="199"/>
      <c r="M62" s="223"/>
      <c r="N62" s="12"/>
      <c r="O62" s="224"/>
      <c r="P62" s="225"/>
      <c r="Q62" s="224"/>
    </row>
    <row r="63" spans="2:17" s="19" customFormat="1">
      <c r="B63" s="13"/>
      <c r="C63" s="12"/>
      <c r="D63" s="223"/>
      <c r="E63" s="12"/>
      <c r="F63" s="224"/>
      <c r="G63" s="225"/>
      <c r="H63" s="224"/>
      <c r="I63" s="199"/>
      <c r="M63" s="223"/>
      <c r="N63" s="12"/>
      <c r="O63" s="224"/>
      <c r="P63" s="225"/>
      <c r="Q63" s="224"/>
    </row>
    <row r="64" spans="2: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6"/>
      <c r="E75" s="227"/>
      <c r="F75" s="259"/>
      <c r="G75" s="229"/>
      <c r="H75" s="259"/>
      <c r="I75" s="199"/>
      <c r="M75" s="226"/>
      <c r="N75" s="227"/>
      <c r="O75" s="259"/>
      <c r="P75" s="229"/>
      <c r="Q75" s="259"/>
    </row>
    <row r="76" spans="2:17" s="19" customFormat="1">
      <c r="B76" s="13"/>
      <c r="C76" s="12"/>
      <c r="D76" s="226"/>
      <c r="E76" s="226"/>
      <c r="F76" s="226"/>
      <c r="G76" s="226"/>
      <c r="H76" s="226"/>
      <c r="I76" s="199"/>
      <c r="M76" s="226"/>
      <c r="N76" s="226"/>
      <c r="O76" s="226"/>
      <c r="P76" s="226"/>
      <c r="Q76" s="226"/>
    </row>
    <row r="77" spans="2:17" s="19" customFormat="1">
      <c r="B77" s="13"/>
      <c r="C77" s="12"/>
      <c r="D77" s="226"/>
      <c r="E77" s="226"/>
      <c r="F77" s="226"/>
      <c r="G77" s="226"/>
      <c r="H77" s="226"/>
      <c r="I77" s="199"/>
      <c r="M77" s="226"/>
      <c r="N77" s="226"/>
      <c r="O77" s="226"/>
      <c r="P77" s="226"/>
      <c r="Q77" s="226"/>
    </row>
    <row r="78" spans="2:17" s="19" customFormat="1">
      <c r="B78" s="13"/>
      <c r="C78" s="12"/>
      <c r="D78" s="230"/>
      <c r="E78" s="260"/>
      <c r="F78" s="226"/>
      <c r="G78" s="226"/>
      <c r="H78" s="226"/>
      <c r="I78" s="199"/>
      <c r="M78" s="230"/>
      <c r="N78" s="260"/>
      <c r="O78" s="226"/>
      <c r="P78" s="226"/>
      <c r="Q78" s="226"/>
    </row>
    <row r="79" spans="2:17" s="19" customFormat="1">
      <c r="B79" s="13"/>
      <c r="C79" s="12"/>
      <c r="D79" s="227"/>
      <c r="E79" s="260"/>
      <c r="F79" s="226"/>
      <c r="G79" s="226"/>
      <c r="H79" s="226"/>
      <c r="I79" s="199"/>
      <c r="M79" s="227"/>
      <c r="N79" s="260"/>
      <c r="O79" s="226"/>
      <c r="P79" s="226"/>
      <c r="Q79" s="226"/>
    </row>
    <row r="80" spans="2:17" s="19" customFormat="1">
      <c r="B80" s="13"/>
      <c r="C80" s="12"/>
      <c r="D80" s="226"/>
      <c r="E80" s="260"/>
      <c r="F80" s="226"/>
      <c r="G80" s="226"/>
      <c r="H80" s="226"/>
      <c r="I80" s="199"/>
      <c r="M80" s="226"/>
      <c r="N80" s="260"/>
      <c r="O80" s="226"/>
      <c r="P80" s="226"/>
      <c r="Q80" s="226"/>
    </row>
    <row r="81" spans="2:17" s="19" customFormat="1" ht="14">
      <c r="B81" s="226"/>
      <c r="C81" s="227"/>
      <c r="D81" s="232"/>
      <c r="E81" s="232"/>
      <c r="F81" s="232"/>
      <c r="G81" s="232"/>
      <c r="H81" s="232"/>
      <c r="I81" s="199"/>
      <c r="M81" s="232"/>
      <c r="N81" s="232"/>
      <c r="O81" s="232"/>
      <c r="P81" s="232"/>
      <c r="Q81" s="232"/>
    </row>
    <row r="82" spans="2:17" s="19" customFormat="1" ht="14">
      <c r="B82" s="123"/>
      <c r="C82" s="123"/>
      <c r="D82" s="232"/>
      <c r="E82" s="232"/>
      <c r="F82" s="232"/>
      <c r="G82" s="232"/>
      <c r="H82" s="232"/>
      <c r="I82" s="199"/>
      <c r="M82" s="232"/>
      <c r="N82" s="232"/>
      <c r="O82" s="232"/>
      <c r="P82" s="232"/>
      <c r="Q82" s="232"/>
    </row>
    <row r="83" spans="2:17" s="19" customFormat="1" ht="14">
      <c r="B83" s="123"/>
      <c r="C83" s="123"/>
      <c r="D83" s="233"/>
      <c r="E83" s="261"/>
      <c r="F83" s="232"/>
      <c r="G83" s="232"/>
      <c r="H83" s="232"/>
      <c r="I83" s="199"/>
      <c r="M83" s="233"/>
      <c r="N83" s="261"/>
      <c r="O83" s="232"/>
      <c r="P83" s="232"/>
      <c r="Q83" s="232"/>
    </row>
    <row r="84" spans="2:17" s="19" customFormat="1" ht="14">
      <c r="B84" s="230"/>
      <c r="C84" s="260"/>
      <c r="D84" s="235"/>
      <c r="E84" s="261"/>
      <c r="F84" s="232"/>
      <c r="G84" s="232"/>
      <c r="H84" s="232"/>
      <c r="I84" s="199"/>
      <c r="M84" s="235"/>
      <c r="N84" s="261"/>
      <c r="O84" s="232"/>
      <c r="P84" s="232"/>
      <c r="Q84" s="232"/>
    </row>
    <row r="85" spans="2:17" s="19" customFormat="1" ht="14">
      <c r="B85" s="236"/>
      <c r="C85" s="260"/>
      <c r="D85" s="232"/>
      <c r="E85" s="261"/>
      <c r="F85" s="232"/>
      <c r="G85" s="232"/>
      <c r="H85" s="232"/>
      <c r="I85" s="199"/>
      <c r="M85" s="232"/>
      <c r="N85" s="261"/>
      <c r="O85" s="232"/>
      <c r="P85" s="232"/>
      <c r="Q85" s="232"/>
    </row>
    <row r="86" spans="2:17" s="19" customFormat="1">
      <c r="C86" s="260"/>
      <c r="I86" s="199"/>
    </row>
    <row r="87" spans="2:17" s="19" customFormat="1">
      <c r="I87" s="199"/>
    </row>
    <row r="88" spans="2:17" s="19" customFormat="1">
      <c r="I88" s="199"/>
    </row>
    <row r="89" spans="2:17" s="19" customFormat="1">
      <c r="I89" s="199"/>
    </row>
    <row r="90" spans="2:17" s="19" customFormat="1">
      <c r="I90" s="199"/>
    </row>
    <row r="91" spans="2:17" s="19" customFormat="1">
      <c r="I91" s="199"/>
    </row>
    <row r="92" spans="2:17" s="19" customFormat="1">
      <c r="I92" s="199"/>
    </row>
    <row r="93" spans="2:17" s="19" customFormat="1">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205</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571" t="s">
        <v>589</v>
      </c>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6.1796875" style="124" customWidth="1"/>
    <col min="4" max="4" width="18.81640625" style="124" customWidth="1"/>
    <col min="5" max="5" width="18.54296875" style="124" customWidth="1"/>
    <col min="6" max="6" width="19.54296875" style="124" customWidth="1"/>
    <col min="7" max="8" width="19" style="124" customWidth="1"/>
    <col min="9" max="9" width="9.1796875" style="124" customWidth="1"/>
    <col min="10"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148</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K12" s="139"/>
      <c r="M12" s="19"/>
      <c r="N12" s="19"/>
      <c r="O12" s="19"/>
      <c r="P12" s="386"/>
      <c r="Q12" s="386"/>
    </row>
    <row r="13" spans="1:17" s="105" customFormat="1" ht="29">
      <c r="A13" s="133"/>
      <c r="B13" s="515"/>
      <c r="C13" s="19"/>
      <c r="D13" s="519" t="s">
        <v>77</v>
      </c>
      <c r="E13" s="552" t="s">
        <v>72</v>
      </c>
      <c r="F13" s="520" t="s">
        <v>114</v>
      </c>
      <c r="G13" s="521" t="s">
        <v>62</v>
      </c>
      <c r="H13" s="553" t="s">
        <v>115</v>
      </c>
      <c r="I13" s="199"/>
      <c r="K13" s="139"/>
      <c r="M13" s="240"/>
      <c r="N13" s="243"/>
      <c r="O13" s="241"/>
      <c r="P13" s="516"/>
      <c r="Q13" s="516"/>
    </row>
    <row r="14" spans="1:17" s="105" customFormat="1">
      <c r="A14" s="133"/>
      <c r="B14" s="198"/>
      <c r="C14" s="198"/>
      <c r="D14" s="952" t="s">
        <v>713</v>
      </c>
      <c r="E14" s="555">
        <f>VLOOKUP(CONCATENATE("seasoning_",D14),Assets_Daten,3,0)</f>
        <v>0</v>
      </c>
      <c r="F14" s="556">
        <f>E14/$E$42</f>
        <v>0</v>
      </c>
      <c r="G14" s="557">
        <f t="shared" ref="G14:G41" si="0">VLOOKUP(CONCATENATE("seasoning_",D14),Assets_Daten,2,0)</f>
        <v>0</v>
      </c>
      <c r="H14" s="558">
        <f>G14/$G$42</f>
        <v>0</v>
      </c>
      <c r="I14" s="199"/>
      <c r="K14" s="139"/>
      <c r="M14" s="559"/>
      <c r="N14" s="551"/>
      <c r="O14" s="548"/>
      <c r="P14" s="549"/>
      <c r="Q14" s="548"/>
    </row>
    <row r="15" spans="1:17">
      <c r="A15" s="206"/>
      <c r="B15" s="13"/>
      <c r="C15" s="12"/>
      <c r="D15" s="554" t="s">
        <v>714</v>
      </c>
      <c r="E15" s="555">
        <f t="shared" ref="E15:E41" si="1">VLOOKUP(CONCATENATE("seasoning_",D15),Assets_Daten,3,0)</f>
        <v>0</v>
      </c>
      <c r="F15" s="556">
        <f t="shared" ref="F15:F41" si="2">E15/$E$42</f>
        <v>0</v>
      </c>
      <c r="G15" s="557">
        <f t="shared" si="0"/>
        <v>0</v>
      </c>
      <c r="H15" s="558">
        <f t="shared" ref="H15:H41" si="3">G15/$G$42</f>
        <v>0</v>
      </c>
      <c r="I15" s="199"/>
      <c r="K15" s="200"/>
      <c r="M15" s="559"/>
      <c r="N15" s="551"/>
      <c r="O15" s="548"/>
      <c r="P15" s="549"/>
      <c r="Q15" s="548"/>
    </row>
    <row r="16" spans="1:17">
      <c r="A16" s="206"/>
      <c r="B16" s="13"/>
      <c r="C16" s="12"/>
      <c r="D16" s="554" t="s">
        <v>715</v>
      </c>
      <c r="E16" s="555">
        <f t="shared" si="1"/>
        <v>0</v>
      </c>
      <c r="F16" s="556">
        <f t="shared" si="2"/>
        <v>0</v>
      </c>
      <c r="G16" s="557">
        <f t="shared" si="0"/>
        <v>0</v>
      </c>
      <c r="H16" s="558">
        <f t="shared" si="3"/>
        <v>0</v>
      </c>
      <c r="I16" s="199"/>
      <c r="K16" s="200"/>
      <c r="M16" s="559"/>
      <c r="N16" s="551"/>
      <c r="O16" s="548"/>
      <c r="P16" s="549"/>
      <c r="Q16" s="548"/>
    </row>
    <row r="17" spans="1:17">
      <c r="A17" s="206"/>
      <c r="B17" s="13"/>
      <c r="C17" s="12"/>
      <c r="D17" s="554" t="s">
        <v>716</v>
      </c>
      <c r="E17" s="555">
        <f t="shared" si="1"/>
        <v>0</v>
      </c>
      <c r="F17" s="556">
        <f t="shared" si="2"/>
        <v>0</v>
      </c>
      <c r="G17" s="557">
        <f t="shared" si="0"/>
        <v>0</v>
      </c>
      <c r="H17" s="558">
        <f t="shared" si="3"/>
        <v>0</v>
      </c>
      <c r="I17" s="199"/>
      <c r="K17" s="200"/>
      <c r="M17" s="560"/>
      <c r="N17" s="551"/>
      <c r="O17" s="548"/>
      <c r="P17" s="549"/>
      <c r="Q17" s="548"/>
    </row>
    <row r="18" spans="1:17">
      <c r="A18" s="206"/>
      <c r="B18" s="13"/>
      <c r="C18" s="12"/>
      <c r="D18" s="554" t="s">
        <v>717</v>
      </c>
      <c r="E18" s="555">
        <f t="shared" si="1"/>
        <v>0</v>
      </c>
      <c r="F18" s="556">
        <f t="shared" si="2"/>
        <v>0</v>
      </c>
      <c r="G18" s="557">
        <f t="shared" si="0"/>
        <v>0</v>
      </c>
      <c r="H18" s="558">
        <f t="shared" si="3"/>
        <v>0</v>
      </c>
      <c r="I18" s="199"/>
      <c r="K18" s="200"/>
      <c r="M18" s="560"/>
      <c r="N18" s="551"/>
      <c r="O18" s="548"/>
      <c r="P18" s="549"/>
      <c r="Q18" s="548"/>
    </row>
    <row r="19" spans="1:17">
      <c r="A19" s="206"/>
      <c r="B19" s="13"/>
      <c r="C19" s="12"/>
      <c r="D19" s="554" t="s">
        <v>718</v>
      </c>
      <c r="E19" s="555">
        <f t="shared" si="1"/>
        <v>6628874.5499999989</v>
      </c>
      <c r="F19" s="556">
        <f t="shared" si="2"/>
        <v>1.3455733740876066E-2</v>
      </c>
      <c r="G19" s="557">
        <f t="shared" si="0"/>
        <v>475</v>
      </c>
      <c r="H19" s="558">
        <f t="shared" si="3"/>
        <v>1.3307185880375402E-2</v>
      </c>
      <c r="I19" s="199"/>
      <c r="K19" s="200"/>
      <c r="M19" s="560"/>
      <c r="N19" s="551"/>
      <c r="O19" s="548"/>
      <c r="P19" s="549"/>
      <c r="Q19" s="548"/>
    </row>
    <row r="20" spans="1:17">
      <c r="A20" s="206"/>
      <c r="B20" s="13"/>
      <c r="C20" s="12"/>
      <c r="D20" s="554" t="s">
        <v>719</v>
      </c>
      <c r="E20" s="555">
        <f t="shared" si="1"/>
        <v>31064085.78999994</v>
      </c>
      <c r="F20" s="556">
        <f t="shared" si="2"/>
        <v>6.3055962839720814E-2</v>
      </c>
      <c r="G20" s="557">
        <f t="shared" si="0"/>
        <v>2108</v>
      </c>
      <c r="H20" s="558">
        <f t="shared" si="3"/>
        <v>5.9055890180697575E-2</v>
      </c>
      <c r="I20" s="199"/>
      <c r="K20" s="200"/>
      <c r="M20" s="560"/>
      <c r="N20" s="551"/>
      <c r="O20" s="548"/>
      <c r="P20" s="549"/>
      <c r="Q20" s="548"/>
    </row>
    <row r="21" spans="1:17">
      <c r="A21" s="206"/>
      <c r="B21" s="13"/>
      <c r="C21" s="12"/>
      <c r="D21" s="120" t="s">
        <v>720</v>
      </c>
      <c r="E21" s="555">
        <f t="shared" si="1"/>
        <v>13854867.279999979</v>
      </c>
      <c r="F21" s="556">
        <f t="shared" si="2"/>
        <v>2.8123537974459868E-2</v>
      </c>
      <c r="G21" s="557">
        <f t="shared" si="0"/>
        <v>1149</v>
      </c>
      <c r="H21" s="558">
        <f t="shared" si="3"/>
        <v>3.2189382266423872E-2</v>
      </c>
      <c r="I21" s="199"/>
      <c r="K21" s="200"/>
      <c r="M21" s="560"/>
      <c r="N21" s="551"/>
      <c r="O21" s="548"/>
      <c r="P21" s="549"/>
      <c r="Q21" s="548"/>
    </row>
    <row r="22" spans="1:17">
      <c r="A22" s="206"/>
      <c r="B22" s="13"/>
      <c r="C22" s="12"/>
      <c r="D22" s="554" t="s">
        <v>721</v>
      </c>
      <c r="E22" s="555">
        <f t="shared" si="1"/>
        <v>25900083.220000036</v>
      </c>
      <c r="F22" s="556">
        <f t="shared" si="2"/>
        <v>5.2573724400147626E-2</v>
      </c>
      <c r="G22" s="557">
        <f t="shared" si="0"/>
        <v>2068</v>
      </c>
      <c r="H22" s="558">
        <f t="shared" si="3"/>
        <v>5.7935285053929121E-2</v>
      </c>
      <c r="I22" s="199"/>
      <c r="K22" s="200"/>
      <c r="M22" s="561"/>
      <c r="N22" s="551"/>
      <c r="O22" s="548"/>
      <c r="P22" s="549"/>
      <c r="Q22" s="548"/>
    </row>
    <row r="23" spans="1:17">
      <c r="A23" s="206"/>
      <c r="B23" s="13"/>
      <c r="C23" s="12"/>
      <c r="D23" s="554" t="s">
        <v>722</v>
      </c>
      <c r="E23" s="555">
        <f t="shared" si="1"/>
        <v>87458284.830000222</v>
      </c>
      <c r="F23" s="556">
        <f t="shared" si="2"/>
        <v>0.17752868684265322</v>
      </c>
      <c r="G23" s="557">
        <f t="shared" si="0"/>
        <v>6002</v>
      </c>
      <c r="H23" s="558">
        <f t="shared" si="3"/>
        <v>0.16814679927160667</v>
      </c>
      <c r="I23" s="199"/>
      <c r="K23" s="200"/>
      <c r="M23" s="562"/>
      <c r="N23" s="551"/>
      <c r="O23" s="548"/>
      <c r="P23" s="549"/>
      <c r="Q23" s="548"/>
    </row>
    <row r="24" spans="1:17" ht="12.75" customHeight="1">
      <c r="A24" s="206"/>
      <c r="B24" s="13"/>
      <c r="C24" s="12"/>
      <c r="D24" s="554" t="s">
        <v>723</v>
      </c>
      <c r="E24" s="555">
        <f t="shared" si="1"/>
        <v>121794242.65000017</v>
      </c>
      <c r="F24" s="556">
        <f t="shared" si="2"/>
        <v>0.24722611476635267</v>
      </c>
      <c r="G24" s="557">
        <f t="shared" si="0"/>
        <v>8205</v>
      </c>
      <c r="H24" s="558">
        <f t="shared" si="3"/>
        <v>0.22986412662837932</v>
      </c>
      <c r="I24" s="199"/>
      <c r="K24" s="200"/>
      <c r="M24" s="562"/>
      <c r="N24" s="551"/>
      <c r="O24" s="548"/>
      <c r="P24" s="549"/>
      <c r="Q24" s="548"/>
    </row>
    <row r="25" spans="1:17" ht="12.75" customHeight="1">
      <c r="A25" s="206"/>
      <c r="B25" s="13"/>
      <c r="C25" s="12"/>
      <c r="D25" s="554" t="s">
        <v>724</v>
      </c>
      <c r="E25" s="555">
        <f t="shared" si="1"/>
        <v>69142220.449999899</v>
      </c>
      <c r="F25" s="556">
        <f t="shared" si="2"/>
        <v>0.14034951206433</v>
      </c>
      <c r="G25" s="557">
        <f t="shared" si="0"/>
        <v>4783</v>
      </c>
      <c r="H25" s="558">
        <f t="shared" si="3"/>
        <v>0.13399635803333801</v>
      </c>
      <c r="I25" s="199"/>
      <c r="K25" s="200"/>
      <c r="M25" s="562"/>
      <c r="N25" s="551"/>
      <c r="O25" s="548"/>
      <c r="P25" s="549"/>
      <c r="Q25" s="548"/>
    </row>
    <row r="26" spans="1:17" ht="12.75" customHeight="1">
      <c r="A26" s="206"/>
      <c r="B26" s="13"/>
      <c r="C26" s="12"/>
      <c r="D26" s="554" t="s">
        <v>725</v>
      </c>
      <c r="E26" s="555">
        <f t="shared" si="1"/>
        <v>57880368.540000007</v>
      </c>
      <c r="F26" s="556">
        <f t="shared" si="2"/>
        <v>0.11748945043740794</v>
      </c>
      <c r="G26" s="557">
        <f t="shared" si="0"/>
        <v>4222</v>
      </c>
      <c r="H26" s="558">
        <f t="shared" si="3"/>
        <v>0.11827987113041043</v>
      </c>
      <c r="I26" s="199"/>
      <c r="K26" s="200"/>
      <c r="M26" s="562"/>
      <c r="N26" s="551"/>
      <c r="O26" s="548"/>
      <c r="P26" s="549"/>
      <c r="Q26" s="548"/>
    </row>
    <row r="27" spans="1:17" ht="12.75" customHeight="1">
      <c r="A27" s="206"/>
      <c r="B27" s="13"/>
      <c r="C27" s="12"/>
      <c r="D27" s="554" t="s">
        <v>726</v>
      </c>
      <c r="E27" s="555">
        <f t="shared" si="1"/>
        <v>33828163.740000002</v>
      </c>
      <c r="F27" s="556">
        <f t="shared" si="2"/>
        <v>6.8666673474488737E-2</v>
      </c>
      <c r="G27" s="557">
        <f t="shared" si="0"/>
        <v>2644</v>
      </c>
      <c r="H27" s="558">
        <f t="shared" si="3"/>
        <v>7.4071998879394876E-2</v>
      </c>
      <c r="I27" s="199"/>
      <c r="K27" s="200"/>
      <c r="M27" s="562"/>
      <c r="N27" s="551"/>
      <c r="O27" s="548"/>
      <c r="P27" s="549"/>
      <c r="Q27" s="548"/>
    </row>
    <row r="28" spans="1:17" ht="12.75" customHeight="1">
      <c r="A28" s="206"/>
      <c r="B28" s="13"/>
      <c r="C28" s="12"/>
      <c r="D28" s="554" t="s">
        <v>727</v>
      </c>
      <c r="E28" s="555">
        <f t="shared" si="1"/>
        <v>23441494.010000002</v>
      </c>
      <c r="F28" s="556">
        <f t="shared" si="2"/>
        <v>4.758311527963692E-2</v>
      </c>
      <c r="G28" s="557">
        <f t="shared" si="0"/>
        <v>1842</v>
      </c>
      <c r="H28" s="558">
        <f t="shared" si="3"/>
        <v>5.1603866087687349E-2</v>
      </c>
      <c r="I28" s="199"/>
      <c r="K28" s="200"/>
      <c r="M28" s="562"/>
      <c r="N28" s="551"/>
      <c r="O28" s="548"/>
      <c r="P28" s="549"/>
      <c r="Q28" s="548"/>
    </row>
    <row r="29" spans="1:17" ht="12.75" customHeight="1">
      <c r="A29" s="206"/>
      <c r="B29" s="13"/>
      <c r="C29" s="12"/>
      <c r="D29" s="554" t="s">
        <v>728</v>
      </c>
      <c r="E29" s="555">
        <f t="shared" si="1"/>
        <v>12378968.500000002</v>
      </c>
      <c r="F29" s="556">
        <f t="shared" si="2"/>
        <v>2.512765973564729E-2</v>
      </c>
      <c r="G29" s="557">
        <f t="shared" si="0"/>
        <v>1192</v>
      </c>
      <c r="H29" s="558">
        <f t="shared" si="3"/>
        <v>3.3394032777699957E-2</v>
      </c>
      <c r="I29" s="199"/>
      <c r="K29" s="200"/>
      <c r="M29" s="562"/>
      <c r="N29" s="551"/>
      <c r="O29" s="548"/>
      <c r="P29" s="549"/>
      <c r="Q29" s="548"/>
    </row>
    <row r="30" spans="1:17" ht="12.75" customHeight="1">
      <c r="A30" s="206"/>
      <c r="B30" s="13"/>
      <c r="C30" s="12"/>
      <c r="D30" s="554" t="s">
        <v>729</v>
      </c>
      <c r="E30" s="555">
        <f t="shared" si="1"/>
        <v>5786886.3899999941</v>
      </c>
      <c r="F30" s="556">
        <f t="shared" si="2"/>
        <v>1.1746609754824736E-2</v>
      </c>
      <c r="G30" s="557">
        <f t="shared" si="0"/>
        <v>596</v>
      </c>
      <c r="H30" s="558">
        <f t="shared" si="3"/>
        <v>1.6697016388849979E-2</v>
      </c>
      <c r="I30" s="199"/>
      <c r="K30" s="200"/>
      <c r="M30" s="562"/>
      <c r="N30" s="551"/>
      <c r="O30" s="548"/>
      <c r="P30" s="549"/>
      <c r="Q30" s="548"/>
    </row>
    <row r="31" spans="1:17" ht="12.75" customHeight="1">
      <c r="A31" s="206"/>
      <c r="B31" s="13"/>
      <c r="C31" s="12"/>
      <c r="D31" s="554" t="s">
        <v>730</v>
      </c>
      <c r="E31" s="555">
        <f t="shared" si="1"/>
        <v>1399840.4699999993</v>
      </c>
      <c r="F31" s="556">
        <f t="shared" si="2"/>
        <v>2.8414899847550752E-3</v>
      </c>
      <c r="G31" s="557">
        <f t="shared" si="0"/>
        <v>143</v>
      </c>
      <c r="H31" s="558">
        <f t="shared" si="3"/>
        <v>4.0061633281972264E-3</v>
      </c>
      <c r="I31" s="199"/>
      <c r="K31" s="200"/>
      <c r="M31" s="562"/>
      <c r="N31" s="551"/>
      <c r="O31" s="548"/>
      <c r="P31" s="549"/>
      <c r="Q31" s="548"/>
    </row>
    <row r="32" spans="1:17" ht="12.75" customHeight="1">
      <c r="A32" s="206"/>
      <c r="B32" s="13"/>
      <c r="C32" s="12"/>
      <c r="D32" s="554" t="s">
        <v>731</v>
      </c>
      <c r="E32" s="555">
        <f t="shared" si="1"/>
        <v>1153276.5100000002</v>
      </c>
      <c r="F32" s="556">
        <f t="shared" si="2"/>
        <v>2.3409979372994473E-3</v>
      </c>
      <c r="G32" s="557">
        <f t="shared" si="0"/>
        <v>105</v>
      </c>
      <c r="H32" s="558">
        <f t="shared" si="3"/>
        <v>2.9415884577671941E-3</v>
      </c>
      <c r="I32" s="199"/>
      <c r="K32" s="200"/>
      <c r="M32" s="562"/>
      <c r="N32" s="551"/>
      <c r="O32" s="548"/>
      <c r="P32" s="549"/>
      <c r="Q32" s="548"/>
    </row>
    <row r="33" spans="1:17" ht="12.75" customHeight="1">
      <c r="A33" s="206"/>
      <c r="B33" s="13"/>
      <c r="C33" s="12"/>
      <c r="D33" s="554" t="s">
        <v>732</v>
      </c>
      <c r="E33" s="555">
        <f t="shared" si="1"/>
        <v>405815.22</v>
      </c>
      <c r="F33" s="556">
        <f t="shared" si="2"/>
        <v>8.2375092591170619E-4</v>
      </c>
      <c r="G33" s="557">
        <f t="shared" si="0"/>
        <v>60</v>
      </c>
      <c r="H33" s="558">
        <f t="shared" si="3"/>
        <v>1.6809076901526825E-3</v>
      </c>
      <c r="I33" s="199"/>
      <c r="K33" s="200"/>
      <c r="M33" s="562"/>
      <c r="N33" s="551"/>
      <c r="O33" s="548"/>
      <c r="P33" s="549"/>
      <c r="Q33" s="548"/>
    </row>
    <row r="34" spans="1:17" ht="12.75" customHeight="1">
      <c r="A34" s="206"/>
      <c r="B34" s="13"/>
      <c r="C34" s="12"/>
      <c r="D34" s="554" t="s">
        <v>733</v>
      </c>
      <c r="E34" s="555">
        <f t="shared" si="1"/>
        <v>305876.02999999997</v>
      </c>
      <c r="F34" s="556">
        <f t="shared" si="2"/>
        <v>6.2088766145019603E-4</v>
      </c>
      <c r="G34" s="557">
        <f t="shared" si="0"/>
        <v>48</v>
      </c>
      <c r="H34" s="558">
        <f t="shared" si="3"/>
        <v>1.3447261521221459E-3</v>
      </c>
      <c r="I34" s="199"/>
      <c r="K34" s="200"/>
      <c r="M34" s="562"/>
      <c r="N34" s="551"/>
      <c r="O34" s="548"/>
      <c r="P34" s="549"/>
      <c r="Q34" s="548"/>
    </row>
    <row r="35" spans="1:17" ht="12.75" customHeight="1">
      <c r="A35" s="206"/>
      <c r="B35" s="13"/>
      <c r="C35" s="12"/>
      <c r="D35" s="554" t="s">
        <v>734</v>
      </c>
      <c r="E35" s="555">
        <f t="shared" si="1"/>
        <v>56936.540000000008</v>
      </c>
      <c r="F35" s="556">
        <f t="shared" si="2"/>
        <v>1.1557360402404056E-4</v>
      </c>
      <c r="G35" s="557">
        <f t="shared" si="0"/>
        <v>6</v>
      </c>
      <c r="H35" s="558">
        <f t="shared" si="3"/>
        <v>1.6809076901526824E-4</v>
      </c>
      <c r="I35" s="199"/>
      <c r="K35" s="200"/>
      <c r="M35" s="562"/>
      <c r="N35" s="551"/>
      <c r="O35" s="548"/>
      <c r="P35" s="549"/>
      <c r="Q35" s="548"/>
    </row>
    <row r="36" spans="1:17" ht="12.75" customHeight="1">
      <c r="A36" s="206"/>
      <c r="B36" s="13"/>
      <c r="C36" s="12"/>
      <c r="D36" s="554" t="s">
        <v>735</v>
      </c>
      <c r="E36" s="555">
        <f t="shared" si="1"/>
        <v>50752.09</v>
      </c>
      <c r="F36" s="556">
        <f t="shared" si="2"/>
        <v>1.0301999301419558E-4</v>
      </c>
      <c r="G36" s="557">
        <f t="shared" si="0"/>
        <v>14</v>
      </c>
      <c r="H36" s="558">
        <f t="shared" si="3"/>
        <v>3.9221179436895923E-4</v>
      </c>
      <c r="I36" s="199"/>
      <c r="K36" s="200"/>
      <c r="M36" s="562"/>
      <c r="N36" s="551"/>
      <c r="O36" s="548"/>
      <c r="P36" s="549"/>
      <c r="Q36" s="548"/>
    </row>
    <row r="37" spans="1:17" ht="12.75" customHeight="1">
      <c r="A37" s="206"/>
      <c r="B37" s="13"/>
      <c r="C37" s="12"/>
      <c r="D37" s="554" t="s">
        <v>736</v>
      </c>
      <c r="E37" s="555">
        <f t="shared" si="1"/>
        <v>56027.37</v>
      </c>
      <c r="F37" s="556">
        <f t="shared" si="2"/>
        <v>1.1372810983752102E-4</v>
      </c>
      <c r="G37" s="557">
        <f t="shared" si="0"/>
        <v>15</v>
      </c>
      <c r="H37" s="558">
        <f t="shared" si="3"/>
        <v>4.2022692253817064E-4</v>
      </c>
      <c r="I37" s="199"/>
      <c r="K37" s="200"/>
      <c r="M37" s="562"/>
      <c r="N37" s="551"/>
      <c r="O37" s="548"/>
      <c r="P37" s="549"/>
      <c r="Q37" s="548"/>
    </row>
    <row r="38" spans="1:17" ht="12.75" customHeight="1">
      <c r="A38" s="206"/>
      <c r="B38" s="13"/>
      <c r="C38" s="12"/>
      <c r="D38" s="554" t="s">
        <v>737</v>
      </c>
      <c r="E38" s="555">
        <f t="shared" si="1"/>
        <v>16930.32</v>
      </c>
      <c r="F38" s="556">
        <f t="shared" si="2"/>
        <v>3.4366297981582547E-5</v>
      </c>
      <c r="G38" s="557">
        <f t="shared" si="0"/>
        <v>2</v>
      </c>
      <c r="H38" s="558">
        <f t="shared" si="3"/>
        <v>5.6030256338422748E-5</v>
      </c>
      <c r="I38" s="199"/>
      <c r="K38" s="200"/>
      <c r="M38" s="562"/>
      <c r="N38" s="551"/>
      <c r="O38" s="548"/>
      <c r="P38" s="549"/>
      <c r="Q38" s="548"/>
    </row>
    <row r="39" spans="1:17" ht="12.75" customHeight="1">
      <c r="A39" s="206"/>
      <c r="B39" s="13"/>
      <c r="C39" s="12"/>
      <c r="D39" s="554" t="s">
        <v>738</v>
      </c>
      <c r="E39" s="555">
        <f t="shared" si="1"/>
        <v>12729.47</v>
      </c>
      <c r="F39" s="556">
        <f t="shared" si="2"/>
        <v>2.5839131166310833E-5</v>
      </c>
      <c r="G39" s="557">
        <f t="shared" si="0"/>
        <v>5</v>
      </c>
      <c r="H39" s="558">
        <f t="shared" si="3"/>
        <v>1.4007564084605686E-4</v>
      </c>
      <c r="I39" s="199"/>
      <c r="K39" s="200"/>
      <c r="M39" s="562"/>
      <c r="N39" s="551"/>
      <c r="O39" s="548"/>
      <c r="P39" s="549"/>
      <c r="Q39" s="548"/>
    </row>
    <row r="40" spans="1:17" ht="12.75" customHeight="1">
      <c r="A40" s="206"/>
      <c r="B40" s="13"/>
      <c r="C40" s="12"/>
      <c r="D40" s="554" t="s">
        <v>739</v>
      </c>
      <c r="E40" s="555">
        <f t="shared" si="1"/>
        <v>19735.09</v>
      </c>
      <c r="F40" s="556">
        <f t="shared" si="2"/>
        <v>4.0059608066082035E-5</v>
      </c>
      <c r="G40" s="557">
        <f t="shared" si="0"/>
        <v>6</v>
      </c>
      <c r="H40" s="558">
        <f t="shared" si="3"/>
        <v>1.6809076901526824E-4</v>
      </c>
      <c r="I40" s="199"/>
      <c r="K40" s="200"/>
      <c r="M40" s="562"/>
      <c r="N40" s="551"/>
      <c r="O40" s="548"/>
      <c r="P40" s="549"/>
      <c r="Q40" s="548"/>
    </row>
    <row r="41" spans="1:17" ht="12.75" customHeight="1" thickBot="1">
      <c r="A41" s="206"/>
      <c r="B41" s="13"/>
      <c r="C41" s="12"/>
      <c r="D41" s="554" t="s">
        <v>740</v>
      </c>
      <c r="E41" s="555">
        <f t="shared" si="1"/>
        <v>6653.3600000000006</v>
      </c>
      <c r="F41" s="556">
        <f t="shared" si="2"/>
        <v>1.3505435947976298E-5</v>
      </c>
      <c r="G41" s="557">
        <f t="shared" si="0"/>
        <v>5</v>
      </c>
      <c r="H41" s="558">
        <f t="shared" si="3"/>
        <v>1.4007564084605686E-4</v>
      </c>
      <c r="I41" s="199"/>
      <c r="K41" s="200"/>
      <c r="M41" s="562"/>
      <c r="N41" s="551"/>
      <c r="O41" s="548"/>
      <c r="P41" s="549"/>
      <c r="Q41" s="548"/>
    </row>
    <row r="42" spans="1:17" ht="14" thickTop="1" thickBot="1">
      <c r="A42" s="206"/>
      <c r="B42" s="13"/>
      <c r="C42" s="12"/>
      <c r="D42" s="563" t="s">
        <v>36</v>
      </c>
      <c r="E42" s="564">
        <f>SUM(E14:E41)</f>
        <v>492643112.42000026</v>
      </c>
      <c r="F42" s="565">
        <f>SUM(F14:F41)</f>
        <v>1</v>
      </c>
      <c r="G42" s="566">
        <f>SUM(G14:G41)</f>
        <v>35695</v>
      </c>
      <c r="H42" s="567">
        <f>SUM(H14:H41)</f>
        <v>0.99999999999999978</v>
      </c>
      <c r="I42" s="199"/>
      <c r="J42" s="199"/>
      <c r="K42" s="200"/>
      <c r="M42" s="35"/>
      <c r="N42" s="529"/>
      <c r="O42" s="568"/>
      <c r="P42" s="531"/>
      <c r="Q42" s="530"/>
    </row>
    <row r="43" spans="1:17" ht="13">
      <c r="A43" s="206"/>
      <c r="B43" s="13"/>
      <c r="C43" s="12"/>
      <c r="D43" s="569"/>
      <c r="E43" s="570"/>
      <c r="F43" s="568"/>
      <c r="G43" s="514"/>
      <c r="H43" s="253"/>
      <c r="I43" s="199"/>
      <c r="J43" s="199"/>
      <c r="K43" s="200"/>
      <c r="M43" s="35"/>
      <c r="N43" s="529"/>
      <c r="O43" s="568"/>
      <c r="P43" s="531"/>
      <c r="Q43" s="530"/>
    </row>
    <row r="44" spans="1:17" ht="13">
      <c r="A44" s="206"/>
      <c r="B44" s="13"/>
      <c r="C44" s="12"/>
      <c r="D44" s="35"/>
      <c r="E44" s="529"/>
      <c r="F44" s="568"/>
      <c r="G44" s="514"/>
      <c r="H44" s="253"/>
      <c r="I44" s="199"/>
      <c r="J44" s="199"/>
      <c r="K44" s="200"/>
      <c r="M44" s="35"/>
      <c r="N44" s="529"/>
      <c r="O44" s="568"/>
      <c r="P44" s="531"/>
      <c r="Q44" s="530"/>
    </row>
    <row r="45" spans="1:17" ht="13.5" thickBot="1">
      <c r="A45" s="206"/>
      <c r="B45" s="13"/>
      <c r="C45" s="12"/>
      <c r="D45" s="534" t="s">
        <v>70</v>
      </c>
      <c r="E45" s="534"/>
      <c r="F45" s="105"/>
      <c r="G45" s="105"/>
      <c r="H45" s="105"/>
      <c r="I45" s="199"/>
      <c r="J45" s="199"/>
      <c r="K45" s="200"/>
      <c r="N45" s="533"/>
    </row>
    <row r="46" spans="1:17" ht="13" thickBot="1">
      <c r="A46" s="206"/>
      <c r="B46" s="13"/>
      <c r="C46" s="12"/>
      <c r="D46" s="535" t="s">
        <v>75</v>
      </c>
      <c r="E46" s="910">
        <f>VLOOKUP(CONCATENATE("seasoning_",D46),Assets_Daten,3,0)</f>
        <v>32.050715960154996</v>
      </c>
      <c r="F46" s="105"/>
      <c r="G46" s="105"/>
      <c r="H46" s="105"/>
      <c r="I46" s="199"/>
      <c r="J46" s="199"/>
      <c r="K46" s="200"/>
      <c r="N46" s="533"/>
    </row>
    <row r="47" spans="1:17">
      <c r="A47" s="206"/>
      <c r="B47" s="13"/>
      <c r="C47" s="12"/>
      <c r="D47" s="227"/>
      <c r="E47" s="260"/>
      <c r="F47" s="105"/>
      <c r="G47" s="105"/>
      <c r="H47" s="105"/>
      <c r="I47" s="199"/>
      <c r="J47" s="199"/>
      <c r="K47" s="200"/>
      <c r="N47" s="533"/>
    </row>
    <row r="48" spans="1:17">
      <c r="A48" s="206"/>
      <c r="B48" s="13"/>
      <c r="C48" s="12"/>
      <c r="D48" s="226"/>
      <c r="E48" s="260"/>
      <c r="F48" s="105"/>
      <c r="G48" s="105"/>
      <c r="H48" s="105"/>
      <c r="I48" s="199"/>
      <c r="J48" s="199"/>
      <c r="K48" s="200"/>
      <c r="N48" s="533"/>
    </row>
    <row r="49" spans="1:17">
      <c r="A49" s="206"/>
      <c r="B49" s="13"/>
      <c r="C49" s="12"/>
      <c r="D49" s="123"/>
      <c r="E49" s="533"/>
      <c r="F49" s="105"/>
      <c r="G49" s="105"/>
      <c r="H49" s="105"/>
      <c r="I49" s="199"/>
      <c r="J49" s="199"/>
      <c r="K49" s="200"/>
      <c r="N49" s="533"/>
    </row>
    <row r="50" spans="1:17">
      <c r="A50" s="206"/>
      <c r="B50" s="13"/>
      <c r="C50" s="12"/>
      <c r="D50" s="123"/>
      <c r="E50" s="533"/>
      <c r="F50" s="105"/>
      <c r="G50" s="105"/>
      <c r="H50" s="105"/>
      <c r="I50" s="199"/>
      <c r="J50" s="199"/>
      <c r="K50" s="200"/>
      <c r="N50" s="533"/>
    </row>
    <row r="51" spans="1:17">
      <c r="A51" s="206"/>
      <c r="B51" s="13"/>
      <c r="C51" s="12"/>
      <c r="D51" s="123"/>
      <c r="E51" s="533"/>
      <c r="F51" s="105"/>
      <c r="G51" s="105"/>
      <c r="H51" s="105"/>
      <c r="I51" s="199"/>
      <c r="J51" s="199"/>
      <c r="K51" s="200"/>
      <c r="N51" s="533"/>
    </row>
    <row r="52" spans="1:17">
      <c r="A52" s="206"/>
      <c r="B52" s="13"/>
      <c r="C52" s="12"/>
      <c r="D52" s="123"/>
      <c r="E52" s="533"/>
      <c r="F52" s="105"/>
      <c r="G52" s="105"/>
      <c r="H52" s="105"/>
      <c r="I52" s="199"/>
      <c r="J52" s="199"/>
      <c r="K52" s="200"/>
      <c r="N52" s="533"/>
    </row>
    <row r="53" spans="1:17">
      <c r="A53" s="206"/>
      <c r="B53" s="13"/>
      <c r="C53" s="12"/>
      <c r="D53" s="123"/>
      <c r="E53" s="533"/>
      <c r="F53" s="105"/>
      <c r="G53" s="105"/>
      <c r="H53" s="105"/>
      <c r="I53" s="199"/>
      <c r="J53" s="199"/>
      <c r="K53" s="200"/>
      <c r="N53" s="533"/>
    </row>
    <row r="54" spans="1:17">
      <c r="A54" s="221"/>
      <c r="B54" s="27"/>
      <c r="C54" s="10"/>
      <c r="D54" s="373"/>
      <c r="E54" s="10"/>
      <c r="F54" s="341"/>
      <c r="G54" s="374"/>
      <c r="H54" s="341"/>
      <c r="I54" s="416"/>
      <c r="J54" s="54"/>
      <c r="K54" s="222"/>
      <c r="M54" s="223"/>
      <c r="N54" s="12"/>
      <c r="O54" s="224"/>
      <c r="P54" s="225"/>
      <c r="Q54" s="224"/>
    </row>
    <row r="55" spans="1:17">
      <c r="A55" s="47"/>
      <c r="B55" s="13"/>
      <c r="C55" s="12"/>
      <c r="D55" s="223"/>
      <c r="E55" s="12"/>
      <c r="F55" s="224"/>
      <c r="G55" s="225"/>
      <c r="H55" s="224"/>
      <c r="I55" s="199"/>
      <c r="J55" s="19"/>
      <c r="K55" s="19"/>
      <c r="L55" s="19"/>
      <c r="M55" s="223"/>
      <c r="N55" s="12"/>
      <c r="O55" s="224"/>
      <c r="P55" s="225"/>
      <c r="Q55" s="224"/>
    </row>
    <row r="56" spans="1:17" s="19" customFormat="1">
      <c r="B56" s="13"/>
      <c r="C56" s="12"/>
      <c r="D56" s="223"/>
      <c r="E56" s="12"/>
      <c r="F56" s="224"/>
      <c r="G56" s="225"/>
      <c r="H56" s="224"/>
      <c r="I56" s="199"/>
      <c r="M56" s="223"/>
      <c r="N56" s="12"/>
      <c r="O56" s="224"/>
      <c r="P56" s="225"/>
      <c r="Q56" s="224"/>
    </row>
    <row r="57" spans="1:17" s="19" customFormat="1">
      <c r="B57" s="13"/>
      <c r="C57" s="12"/>
      <c r="D57" s="223"/>
      <c r="E57" s="12"/>
      <c r="F57" s="224"/>
      <c r="G57" s="225"/>
      <c r="H57" s="224"/>
      <c r="I57" s="199"/>
      <c r="M57" s="223"/>
      <c r="N57" s="12"/>
      <c r="O57" s="224"/>
      <c r="P57" s="225"/>
      <c r="Q57" s="224"/>
    </row>
    <row r="58" spans="1:17" s="123" customFormat="1" ht="15" customHeight="1">
      <c r="B58" s="13"/>
      <c r="C58" s="12"/>
      <c r="D58" s="223"/>
      <c r="E58" s="12"/>
      <c r="F58" s="224"/>
      <c r="G58" s="225"/>
      <c r="H58" s="224"/>
      <c r="I58" s="129"/>
      <c r="M58" s="223"/>
      <c r="N58" s="12"/>
      <c r="O58" s="224"/>
      <c r="P58" s="225"/>
      <c r="Q58" s="224"/>
    </row>
    <row r="59" spans="1:17" s="123" customFormat="1">
      <c r="B59" s="13"/>
      <c r="C59" s="12"/>
      <c r="D59" s="223"/>
      <c r="E59" s="12"/>
      <c r="F59" s="224"/>
      <c r="G59" s="225"/>
      <c r="H59" s="224"/>
      <c r="I59" s="129"/>
      <c r="M59" s="223"/>
      <c r="N59" s="12"/>
      <c r="O59" s="224"/>
      <c r="P59" s="225"/>
      <c r="Q59" s="224"/>
    </row>
    <row r="60" spans="1:17" s="19" customFormat="1">
      <c r="B60" s="13"/>
      <c r="C60" s="12"/>
      <c r="D60" s="223"/>
      <c r="E60" s="12"/>
      <c r="F60" s="224"/>
      <c r="G60" s="225"/>
      <c r="H60" s="224"/>
      <c r="I60" s="19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3"/>
      <c r="E82" s="12"/>
      <c r="F82" s="224"/>
      <c r="G82" s="225"/>
      <c r="H82" s="224"/>
      <c r="I82" s="199"/>
      <c r="M82" s="223"/>
      <c r="N82" s="12"/>
      <c r="O82" s="224"/>
      <c r="P82" s="225"/>
      <c r="Q82" s="224"/>
    </row>
    <row r="83" spans="2:17" s="19" customFormat="1">
      <c r="B83" s="13"/>
      <c r="C83" s="12"/>
      <c r="D83" s="223"/>
      <c r="E83" s="12"/>
      <c r="F83" s="224"/>
      <c r="G83" s="225"/>
      <c r="H83" s="224"/>
      <c r="I83" s="199"/>
      <c r="M83" s="223"/>
      <c r="N83" s="12"/>
      <c r="O83" s="224"/>
      <c r="P83" s="225"/>
      <c r="Q83" s="224"/>
    </row>
    <row r="84" spans="2:17" s="19" customFormat="1">
      <c r="B84" s="13"/>
      <c r="C84" s="12"/>
      <c r="D84" s="223"/>
      <c r="E84" s="12"/>
      <c r="F84" s="224"/>
      <c r="G84" s="225"/>
      <c r="H84" s="224"/>
      <c r="I84" s="199"/>
      <c r="M84" s="223"/>
      <c r="N84" s="12"/>
      <c r="O84" s="224"/>
      <c r="P84" s="225"/>
      <c r="Q84" s="224"/>
    </row>
    <row r="85" spans="2:17" s="19" customFormat="1">
      <c r="B85" s="13"/>
      <c r="C85" s="12"/>
      <c r="D85" s="223"/>
      <c r="E85" s="12"/>
      <c r="F85" s="224"/>
      <c r="G85" s="225"/>
      <c r="H85" s="224"/>
      <c r="I85" s="199"/>
      <c r="M85" s="223"/>
      <c r="N85" s="12"/>
      <c r="O85" s="224"/>
      <c r="P85" s="225"/>
      <c r="Q85" s="224"/>
    </row>
    <row r="86" spans="2:17" s="19" customFormat="1">
      <c r="B86" s="13"/>
      <c r="C86" s="12"/>
      <c r="D86" s="223"/>
      <c r="E86" s="12"/>
      <c r="F86" s="224"/>
      <c r="G86" s="225"/>
      <c r="H86" s="224"/>
      <c r="I86" s="199"/>
      <c r="M86" s="223"/>
      <c r="N86" s="12"/>
      <c r="O86" s="224"/>
      <c r="P86" s="225"/>
      <c r="Q86" s="224"/>
    </row>
    <row r="87" spans="2:17" s="19" customFormat="1">
      <c r="B87" s="13"/>
      <c r="C87" s="12"/>
      <c r="D87" s="223"/>
      <c r="E87" s="12"/>
      <c r="F87" s="224"/>
      <c r="G87" s="225"/>
      <c r="H87" s="224"/>
      <c r="I87" s="199"/>
      <c r="M87" s="223"/>
      <c r="N87" s="12"/>
      <c r="O87" s="224"/>
      <c r="P87" s="225"/>
      <c r="Q87" s="224"/>
    </row>
    <row r="88" spans="2:17" s="19" customFormat="1">
      <c r="B88" s="13"/>
      <c r="C88" s="12"/>
      <c r="D88" s="226"/>
      <c r="E88" s="227"/>
      <c r="F88" s="259"/>
      <c r="G88" s="229"/>
      <c r="H88" s="259"/>
      <c r="I88" s="199"/>
      <c r="M88" s="226"/>
      <c r="N88" s="227"/>
      <c r="O88" s="259"/>
      <c r="P88" s="229"/>
      <c r="Q88" s="259"/>
    </row>
    <row r="89" spans="2:17" s="19" customFormat="1">
      <c r="B89" s="13"/>
      <c r="C89" s="12"/>
      <c r="D89" s="226"/>
      <c r="E89" s="226"/>
      <c r="F89" s="226"/>
      <c r="G89" s="226"/>
      <c r="H89" s="226"/>
      <c r="I89" s="199"/>
      <c r="M89" s="226"/>
      <c r="N89" s="226"/>
      <c r="O89" s="226"/>
      <c r="P89" s="226"/>
      <c r="Q89" s="226"/>
    </row>
    <row r="90" spans="2:17" s="19" customFormat="1">
      <c r="B90" s="13"/>
      <c r="C90" s="12"/>
      <c r="D90" s="226"/>
      <c r="E90" s="226"/>
      <c r="F90" s="226"/>
      <c r="G90" s="226"/>
      <c r="H90" s="226"/>
      <c r="I90" s="199"/>
      <c r="M90" s="226"/>
      <c r="N90" s="226"/>
      <c r="O90" s="226"/>
      <c r="P90" s="226"/>
      <c r="Q90" s="226"/>
    </row>
    <row r="91" spans="2:17" s="19" customFormat="1">
      <c r="B91" s="13"/>
      <c r="C91" s="12"/>
      <c r="D91" s="230"/>
      <c r="E91" s="260"/>
      <c r="F91" s="226"/>
      <c r="G91" s="226"/>
      <c r="H91" s="226"/>
      <c r="I91" s="199"/>
      <c r="M91" s="230"/>
      <c r="N91" s="260"/>
      <c r="O91" s="226"/>
      <c r="P91" s="226"/>
      <c r="Q91" s="226"/>
    </row>
    <row r="92" spans="2:17" s="19" customFormat="1">
      <c r="B92" s="13"/>
      <c r="C92" s="12"/>
      <c r="D92" s="227"/>
      <c r="E92" s="260"/>
      <c r="F92" s="226"/>
      <c r="G92" s="226"/>
      <c r="H92" s="226"/>
      <c r="I92" s="199"/>
      <c r="M92" s="227"/>
      <c r="N92" s="260"/>
      <c r="O92" s="226"/>
      <c r="P92" s="226"/>
      <c r="Q92" s="226"/>
    </row>
    <row r="93" spans="2:17" s="19" customFormat="1">
      <c r="B93" s="13"/>
      <c r="C93" s="12"/>
      <c r="D93" s="226"/>
      <c r="E93" s="260"/>
      <c r="F93" s="226"/>
      <c r="G93" s="226"/>
      <c r="H93" s="226"/>
      <c r="I93" s="199"/>
      <c r="M93" s="226"/>
      <c r="N93" s="260"/>
      <c r="O93" s="226"/>
      <c r="P93" s="226"/>
      <c r="Q93" s="226"/>
    </row>
    <row r="94" spans="2:17" s="19" customFormat="1" ht="14">
      <c r="B94" s="226"/>
      <c r="C94" s="227"/>
      <c r="D94" s="232"/>
      <c r="E94" s="232"/>
      <c r="F94" s="232"/>
      <c r="G94" s="232"/>
      <c r="H94" s="232"/>
      <c r="I94" s="199"/>
      <c r="M94" s="232"/>
      <c r="N94" s="232"/>
      <c r="O94" s="232"/>
      <c r="P94" s="232"/>
      <c r="Q94" s="232"/>
    </row>
    <row r="95" spans="2:17" s="19" customFormat="1" ht="14">
      <c r="B95" s="123"/>
      <c r="C95" s="123"/>
      <c r="D95" s="232"/>
      <c r="E95" s="232"/>
      <c r="F95" s="232"/>
      <c r="G95" s="232"/>
      <c r="H95" s="232"/>
      <c r="I95" s="199"/>
      <c r="M95" s="232"/>
      <c r="N95" s="232"/>
      <c r="O95" s="232"/>
      <c r="P95" s="232"/>
      <c r="Q95" s="232"/>
    </row>
    <row r="96" spans="2:17" s="19" customFormat="1" ht="14">
      <c r="B96" s="123"/>
      <c r="C96" s="123"/>
      <c r="D96" s="233"/>
      <c r="E96" s="261"/>
      <c r="F96" s="232"/>
      <c r="G96" s="232"/>
      <c r="H96" s="232"/>
      <c r="I96" s="199"/>
      <c r="M96" s="233"/>
      <c r="N96" s="261"/>
      <c r="O96" s="232"/>
      <c r="P96" s="232"/>
      <c r="Q96" s="232"/>
    </row>
    <row r="97" spans="2:17" s="19" customFormat="1" ht="14">
      <c r="B97" s="230"/>
      <c r="C97" s="260"/>
      <c r="D97" s="235"/>
      <c r="E97" s="261"/>
      <c r="F97" s="232"/>
      <c r="G97" s="232"/>
      <c r="H97" s="232"/>
      <c r="I97" s="199"/>
      <c r="M97" s="235"/>
      <c r="N97" s="261"/>
      <c r="O97" s="232"/>
      <c r="P97" s="232"/>
      <c r="Q97" s="232"/>
    </row>
    <row r="98" spans="2:17" s="19" customFormat="1" ht="14">
      <c r="B98" s="236"/>
      <c r="C98" s="260"/>
      <c r="D98" s="232"/>
      <c r="E98" s="261"/>
      <c r="F98" s="232"/>
      <c r="G98" s="232"/>
      <c r="H98" s="232"/>
      <c r="I98" s="199"/>
      <c r="M98" s="232"/>
      <c r="N98" s="261"/>
      <c r="O98" s="232"/>
      <c r="P98" s="232"/>
      <c r="Q98" s="232"/>
    </row>
    <row r="99" spans="2:17" s="19" customFormat="1">
      <c r="C99" s="260"/>
      <c r="I99" s="199"/>
    </row>
    <row r="100" spans="2:17" s="19" customFormat="1">
      <c r="I100" s="199"/>
    </row>
    <row r="101" spans="2:17" s="19" customFormat="1">
      <c r="I101" s="199"/>
    </row>
    <row r="102" spans="2:17" s="19" customFormat="1">
      <c r="I102" s="199"/>
    </row>
    <row r="103" spans="2:17" s="19" customFormat="1">
      <c r="I103" s="199"/>
    </row>
    <row r="104" spans="2:17" s="19" customFormat="1">
      <c r="I104" s="199"/>
    </row>
    <row r="105" spans="2:17" s="19" customFormat="1">
      <c r="I105" s="199"/>
    </row>
    <row r="106" spans="2:17" s="19" customFormat="1">
      <c r="I106" s="199"/>
    </row>
    <row r="107" spans="2:17" s="19" customFormat="1">
      <c r="I107" s="199"/>
    </row>
    <row r="108" spans="2:17" s="19" customFormat="1">
      <c r="I108" s="199"/>
    </row>
    <row r="109" spans="2:17" s="19" customFormat="1">
      <c r="I109" s="199"/>
    </row>
    <row r="110" spans="2:17" s="19" customFormat="1">
      <c r="I110" s="199"/>
    </row>
    <row r="111" spans="2:17" s="19" customFormat="1">
      <c r="I111" s="199"/>
    </row>
    <row r="112" spans="2:17"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c r="I312" s="199"/>
    </row>
    <row r="313" spans="9:9" s="19" customFormat="1">
      <c r="I313" s="199"/>
    </row>
    <row r="314" spans="9:9" s="19" customFormat="1">
      <c r="I314" s="199"/>
    </row>
    <row r="315" spans="9:9" s="19" customFormat="1">
      <c r="I315" s="199"/>
    </row>
    <row r="316" spans="9:9" s="19" customFormat="1">
      <c r="I316" s="199"/>
    </row>
    <row r="317" spans="9:9" s="19" customFormat="1">
      <c r="I317" s="199"/>
    </row>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row r="2252" s="19" customFormat="1"/>
    <row r="2253" s="19" customFormat="1"/>
    <row r="2254" s="19" customFormat="1"/>
    <row r="2255" s="19" customFormat="1"/>
    <row r="2256" s="19" customFormat="1"/>
    <row r="2257" s="19"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149</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1796875" style="124" customWidth="1"/>
    <col min="4" max="4" width="18.81640625" style="124" customWidth="1"/>
    <col min="5" max="5" width="18.54296875" style="124" customWidth="1"/>
    <col min="6" max="6" width="19.54296875" style="124" customWidth="1"/>
    <col min="7" max="8" width="19" style="124" customWidth="1"/>
    <col min="9"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150</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23"/>
      <c r="E10" s="123"/>
      <c r="F10" s="129"/>
      <c r="G10" s="123"/>
      <c r="H10" s="123"/>
      <c r="I10" s="19"/>
      <c r="J10" s="19"/>
      <c r="K10" s="139"/>
      <c r="M10" s="19"/>
      <c r="N10" s="19"/>
      <c r="O10" s="199"/>
      <c r="P10" s="19"/>
      <c r="Q10" s="19"/>
    </row>
    <row r="11" spans="1:17" s="105" customFormat="1" ht="18">
      <c r="A11" s="133"/>
      <c r="B11" s="195"/>
      <c r="C11" s="123"/>
      <c r="D11" s="123"/>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K12" s="139"/>
      <c r="M12" s="19"/>
      <c r="N12" s="19"/>
      <c r="O12" s="19"/>
      <c r="P12" s="386"/>
      <c r="Q12" s="386"/>
    </row>
    <row r="13" spans="1:17" s="105" customFormat="1" ht="29">
      <c r="A13" s="133"/>
      <c r="B13" s="198"/>
      <c r="C13" s="198"/>
      <c r="D13" s="536" t="s">
        <v>76</v>
      </c>
      <c r="E13" s="520" t="s">
        <v>72</v>
      </c>
      <c r="F13" s="521" t="s">
        <v>114</v>
      </c>
      <c r="G13" s="522" t="s">
        <v>62</v>
      </c>
      <c r="H13" s="523" t="s">
        <v>115</v>
      </c>
      <c r="I13" s="240"/>
      <c r="K13" s="139"/>
      <c r="M13" s="537"/>
      <c r="N13" s="241"/>
      <c r="O13" s="516"/>
      <c r="P13" s="516"/>
      <c r="Q13" s="240"/>
    </row>
    <row r="14" spans="1:17">
      <c r="A14" s="206"/>
      <c r="B14" s="13"/>
      <c r="C14" s="12"/>
      <c r="D14" s="538" t="s">
        <v>741</v>
      </c>
      <c r="E14" s="539">
        <f t="shared" ref="E14:E28" si="0">VLOOKUP(CONCATENATE("remaining_",D14),Assets_Daten,3,0)</f>
        <v>904362.23000000033</v>
      </c>
      <c r="F14" s="540">
        <f>E14/$E$29</f>
        <v>1.8357350528205288E-3</v>
      </c>
      <c r="G14" s="541">
        <f t="shared" ref="G14:G28" si="1">VLOOKUP(CONCATENATE("remaining_",D14),Assets_Daten,2,0)</f>
        <v>1347</v>
      </c>
      <c r="H14" s="542">
        <f>G14/$G$29</f>
        <v>3.7736377643927718E-2</v>
      </c>
      <c r="I14" s="543"/>
      <c r="K14" s="200"/>
      <c r="M14" s="544"/>
      <c r="N14" s="545"/>
      <c r="O14" s="543"/>
      <c r="P14" s="546"/>
      <c r="Q14" s="543"/>
    </row>
    <row r="15" spans="1:17">
      <c r="A15" s="206"/>
      <c r="B15" s="13"/>
      <c r="C15" s="12"/>
      <c r="D15" s="538" t="s">
        <v>742</v>
      </c>
      <c r="E15" s="539">
        <f t="shared" si="0"/>
        <v>2768376.7400000049</v>
      </c>
      <c r="F15" s="540">
        <f t="shared" ref="F15:F28" si="2">E15/$E$29</f>
        <v>5.6194366067577042E-3</v>
      </c>
      <c r="G15" s="541">
        <f t="shared" si="1"/>
        <v>1465</v>
      </c>
      <c r="H15" s="542">
        <f t="shared" ref="H15:H28" si="3">G15/$G$29</f>
        <v>4.1042162767894665E-2</v>
      </c>
      <c r="I15" s="543"/>
      <c r="K15" s="200"/>
      <c r="M15" s="544"/>
      <c r="N15" s="545"/>
      <c r="O15" s="543"/>
      <c r="P15" s="546"/>
      <c r="Q15" s="543"/>
    </row>
    <row r="16" spans="1:17">
      <c r="A16" s="206"/>
      <c r="B16" s="13"/>
      <c r="C16" s="12"/>
      <c r="D16" s="538" t="s">
        <v>743</v>
      </c>
      <c r="E16" s="539">
        <f t="shared" si="0"/>
        <v>6364759.3200000012</v>
      </c>
      <c r="F16" s="540">
        <f t="shared" si="2"/>
        <v>1.2919614949521003E-2</v>
      </c>
      <c r="G16" s="541">
        <f t="shared" si="1"/>
        <v>1796</v>
      </c>
      <c r="H16" s="542">
        <f t="shared" si="3"/>
        <v>5.0315170191903631E-2</v>
      </c>
      <c r="I16" s="543"/>
      <c r="K16" s="200"/>
      <c r="M16" s="544"/>
      <c r="N16" s="545"/>
      <c r="O16" s="543"/>
      <c r="P16" s="546"/>
      <c r="Q16" s="543"/>
    </row>
    <row r="17" spans="1:17">
      <c r="A17" s="206"/>
      <c r="B17" s="13"/>
      <c r="C17" s="12"/>
      <c r="D17" s="538" t="s">
        <v>744</v>
      </c>
      <c r="E17" s="539">
        <f t="shared" si="0"/>
        <v>7505756.9799999986</v>
      </c>
      <c r="F17" s="540">
        <f t="shared" si="2"/>
        <v>1.5235688454324707E-2</v>
      </c>
      <c r="G17" s="541">
        <f t="shared" si="1"/>
        <v>1414</v>
      </c>
      <c r="H17" s="542">
        <f t="shared" si="3"/>
        <v>3.961339123126488E-2</v>
      </c>
      <c r="I17" s="543"/>
      <c r="K17" s="200"/>
      <c r="M17" s="544"/>
      <c r="N17" s="545"/>
      <c r="O17" s="543"/>
      <c r="P17" s="546"/>
      <c r="Q17" s="543"/>
    </row>
    <row r="18" spans="1:17">
      <c r="A18" s="206"/>
      <c r="B18" s="13"/>
      <c r="C18" s="12"/>
      <c r="D18" s="538" t="s">
        <v>745</v>
      </c>
      <c r="E18" s="539">
        <f t="shared" si="0"/>
        <v>13185413.450000022</v>
      </c>
      <c r="F18" s="540">
        <f t="shared" si="2"/>
        <v>2.6764635732405912E-2</v>
      </c>
      <c r="G18" s="541">
        <f t="shared" si="1"/>
        <v>1959</v>
      </c>
      <c r="H18" s="542">
        <f t="shared" si="3"/>
        <v>5.4881636083485084E-2</v>
      </c>
      <c r="I18" s="543"/>
      <c r="K18" s="200"/>
      <c r="M18" s="544"/>
      <c r="N18" s="545"/>
      <c r="O18" s="543"/>
      <c r="P18" s="546"/>
      <c r="Q18" s="543"/>
    </row>
    <row r="19" spans="1:17">
      <c r="A19" s="206"/>
      <c r="B19" s="13"/>
      <c r="C19" s="12"/>
      <c r="D19" s="538" t="s">
        <v>746</v>
      </c>
      <c r="E19" s="539">
        <f t="shared" si="0"/>
        <v>15047915.569999976</v>
      </c>
      <c r="F19" s="540">
        <f t="shared" si="2"/>
        <v>3.0545267335780658E-2</v>
      </c>
      <c r="G19" s="541">
        <f t="shared" si="1"/>
        <v>1712</v>
      </c>
      <c r="H19" s="542">
        <f t="shared" si="3"/>
        <v>4.7961899425689875E-2</v>
      </c>
      <c r="I19" s="543"/>
      <c r="K19" s="200"/>
      <c r="M19" s="544"/>
      <c r="N19" s="545"/>
      <c r="O19" s="543"/>
      <c r="P19" s="546"/>
      <c r="Q19" s="543"/>
    </row>
    <row r="20" spans="1:17">
      <c r="A20" s="206"/>
      <c r="B20" s="13"/>
      <c r="C20" s="12"/>
      <c r="D20" s="538" t="s">
        <v>747</v>
      </c>
      <c r="E20" s="539">
        <f t="shared" si="0"/>
        <v>26765472.000000007</v>
      </c>
      <c r="F20" s="540">
        <f t="shared" si="2"/>
        <v>5.4330348532674107E-2</v>
      </c>
      <c r="G20" s="541">
        <f t="shared" si="1"/>
        <v>2619</v>
      </c>
      <c r="H20" s="542">
        <f t="shared" si="3"/>
        <v>7.3371620675164589E-2</v>
      </c>
      <c r="I20" s="543"/>
      <c r="K20" s="200"/>
      <c r="M20" s="544"/>
      <c r="N20" s="545"/>
      <c r="O20" s="543"/>
      <c r="P20" s="546"/>
      <c r="Q20" s="543"/>
    </row>
    <row r="21" spans="1:17">
      <c r="A21" s="206"/>
      <c r="B21" s="13"/>
      <c r="C21" s="12"/>
      <c r="D21" s="119" t="s">
        <v>748</v>
      </c>
      <c r="E21" s="539">
        <f t="shared" si="0"/>
        <v>49087879.970000155</v>
      </c>
      <c r="F21" s="540">
        <f t="shared" si="2"/>
        <v>9.9641867982009802E-2</v>
      </c>
      <c r="G21" s="541">
        <f t="shared" si="1"/>
        <v>3654</v>
      </c>
      <c r="H21" s="542">
        <f t="shared" si="3"/>
        <v>0.10236727833029836</v>
      </c>
      <c r="I21" s="543"/>
      <c r="K21" s="200"/>
      <c r="M21" s="544"/>
      <c r="N21" s="545"/>
      <c r="O21" s="543"/>
      <c r="P21" s="546"/>
      <c r="Q21" s="543"/>
    </row>
    <row r="22" spans="1:17">
      <c r="A22" s="206"/>
      <c r="B22" s="13"/>
      <c r="C22" s="12"/>
      <c r="D22" s="538" t="s">
        <v>749</v>
      </c>
      <c r="E22" s="539">
        <f t="shared" si="0"/>
        <v>92515942.749999955</v>
      </c>
      <c r="F22" s="540">
        <f t="shared" si="2"/>
        <v>0.18779505978584723</v>
      </c>
      <c r="G22" s="541">
        <f t="shared" si="1"/>
        <v>5594</v>
      </c>
      <c r="H22" s="542">
        <f t="shared" si="3"/>
        <v>0.15671662697856842</v>
      </c>
      <c r="I22" s="543"/>
      <c r="K22" s="200"/>
      <c r="M22" s="544"/>
      <c r="N22" s="545"/>
      <c r="O22" s="543"/>
      <c r="P22" s="546"/>
      <c r="Q22" s="543"/>
    </row>
    <row r="23" spans="1:17">
      <c r="A23" s="206"/>
      <c r="B23" s="13"/>
      <c r="C23" s="12"/>
      <c r="D23" s="538" t="s">
        <v>750</v>
      </c>
      <c r="E23" s="539">
        <f t="shared" si="0"/>
        <v>170310975.18000084</v>
      </c>
      <c r="F23" s="540">
        <f t="shared" si="2"/>
        <v>0.34570862940392205</v>
      </c>
      <c r="G23" s="541">
        <f t="shared" si="1"/>
        <v>9061</v>
      </c>
      <c r="H23" s="542">
        <f t="shared" si="3"/>
        <v>0.25384507634122427</v>
      </c>
      <c r="I23" s="543"/>
      <c r="K23" s="200"/>
      <c r="M23" s="544"/>
      <c r="N23" s="545"/>
      <c r="O23" s="543"/>
      <c r="P23" s="546"/>
      <c r="Q23" s="543"/>
    </row>
    <row r="24" spans="1:17">
      <c r="A24" s="206"/>
      <c r="B24" s="13"/>
      <c r="C24" s="12"/>
      <c r="D24" s="538" t="s">
        <v>751</v>
      </c>
      <c r="E24" s="539">
        <f t="shared" si="0"/>
        <v>65411354.909999996</v>
      </c>
      <c r="F24" s="540">
        <f t="shared" si="2"/>
        <v>0.13277635119809367</v>
      </c>
      <c r="G24" s="541">
        <f t="shared" si="1"/>
        <v>3210</v>
      </c>
      <c r="H24" s="542">
        <f t="shared" si="3"/>
        <v>8.9928561423168504E-2</v>
      </c>
      <c r="I24" s="543"/>
      <c r="K24" s="200"/>
      <c r="M24" s="544"/>
      <c r="N24" s="545"/>
      <c r="O24" s="543"/>
      <c r="P24" s="546"/>
      <c r="Q24" s="543"/>
    </row>
    <row r="25" spans="1:17">
      <c r="A25" s="206"/>
      <c r="B25" s="13"/>
      <c r="C25" s="12"/>
      <c r="D25" s="538" t="s">
        <v>752</v>
      </c>
      <c r="E25" s="539">
        <f t="shared" si="0"/>
        <v>37422100.420000002</v>
      </c>
      <c r="F25" s="540">
        <f t="shared" si="2"/>
        <v>7.596188696554014E-2</v>
      </c>
      <c r="G25" s="541">
        <f t="shared" si="1"/>
        <v>1690</v>
      </c>
      <c r="H25" s="542">
        <f t="shared" si="3"/>
        <v>4.7345566605967219E-2</v>
      </c>
      <c r="I25" s="543"/>
      <c r="K25" s="200"/>
      <c r="M25" s="544"/>
      <c r="N25" s="545"/>
      <c r="O25" s="543"/>
      <c r="P25" s="546"/>
      <c r="Q25" s="543"/>
    </row>
    <row r="26" spans="1:17" ht="12.75" customHeight="1">
      <c r="A26" s="206"/>
      <c r="B26" s="13"/>
      <c r="C26" s="12"/>
      <c r="D26" s="538" t="s">
        <v>753</v>
      </c>
      <c r="E26" s="539">
        <f t="shared" si="0"/>
        <v>4740969.0599999977</v>
      </c>
      <c r="F26" s="540">
        <f t="shared" si="2"/>
        <v>9.6235366748781467E-3</v>
      </c>
      <c r="G26" s="541">
        <f t="shared" si="1"/>
        <v>153</v>
      </c>
      <c r="H26" s="542">
        <f t="shared" si="3"/>
        <v>4.2863146098893398E-3</v>
      </c>
      <c r="I26" s="543"/>
      <c r="K26" s="200"/>
      <c r="M26" s="544"/>
      <c r="N26" s="545"/>
      <c r="O26" s="543"/>
      <c r="P26" s="546"/>
      <c r="Q26" s="543"/>
    </row>
    <row r="27" spans="1:17" ht="12.75" customHeight="1">
      <c r="A27" s="206"/>
      <c r="B27" s="13"/>
      <c r="C27" s="12"/>
      <c r="D27" s="538" t="s">
        <v>754</v>
      </c>
      <c r="E27" s="539">
        <f t="shared" si="0"/>
        <v>462997.12</v>
      </c>
      <c r="F27" s="540">
        <f t="shared" si="2"/>
        <v>9.3982257810451954E-4</v>
      </c>
      <c r="G27" s="541">
        <f t="shared" si="1"/>
        <v>15</v>
      </c>
      <c r="H27" s="542">
        <f t="shared" si="3"/>
        <v>4.2022692253817064E-4</v>
      </c>
      <c r="I27" s="543"/>
      <c r="K27" s="200"/>
      <c r="M27" s="544"/>
      <c r="N27" s="545"/>
      <c r="O27" s="543"/>
      <c r="P27" s="546"/>
      <c r="Q27" s="543"/>
    </row>
    <row r="28" spans="1:17" ht="12.75" customHeight="1" thickBot="1">
      <c r="A28" s="206"/>
      <c r="B28" s="13"/>
      <c r="C28" s="12"/>
      <c r="D28" s="538" t="s">
        <v>755</v>
      </c>
      <c r="E28" s="539">
        <f t="shared" si="0"/>
        <v>148836.72</v>
      </c>
      <c r="F28" s="540">
        <f t="shared" si="2"/>
        <v>3.0211874731968203E-4</v>
      </c>
      <c r="G28" s="541">
        <f t="shared" si="1"/>
        <v>6</v>
      </c>
      <c r="H28" s="542">
        <f t="shared" si="3"/>
        <v>1.6809076901526824E-4</v>
      </c>
      <c r="I28" s="543"/>
      <c r="K28" s="200"/>
      <c r="M28" s="544"/>
      <c r="N28" s="545"/>
      <c r="O28" s="543"/>
      <c r="P28" s="546"/>
      <c r="Q28" s="543"/>
    </row>
    <row r="29" spans="1:17" ht="14" thickTop="1" thickBot="1">
      <c r="A29" s="206"/>
      <c r="B29" s="13"/>
      <c r="C29" s="12"/>
      <c r="D29" s="547" t="s">
        <v>36</v>
      </c>
      <c r="E29" s="564">
        <f>SUM(E14:E28)</f>
        <v>492643112.42000103</v>
      </c>
      <c r="F29" s="930">
        <f>SUM(F14:F28)</f>
        <v>0.99999999999999989</v>
      </c>
      <c r="G29" s="566">
        <f>SUM(G14:G28)</f>
        <v>35695</v>
      </c>
      <c r="H29" s="567">
        <f>SUM(H14:H28)</f>
        <v>1.0000000000000002</v>
      </c>
      <c r="I29" s="530"/>
      <c r="K29" s="200"/>
      <c r="M29" s="35"/>
      <c r="N29" s="529"/>
      <c r="O29" s="530"/>
      <c r="P29" s="531"/>
      <c r="Q29" s="530"/>
    </row>
    <row r="30" spans="1:17" ht="13">
      <c r="A30" s="206"/>
      <c r="B30" s="13"/>
      <c r="C30" s="12"/>
      <c r="D30" s="171"/>
      <c r="E30" s="513"/>
      <c r="F30" s="253"/>
      <c r="G30" s="514"/>
      <c r="H30" s="253"/>
      <c r="I30" s="530"/>
      <c r="K30" s="200"/>
      <c r="M30" s="35"/>
      <c r="N30" s="529"/>
      <c r="O30" s="530"/>
      <c r="P30" s="531"/>
      <c r="Q30" s="530"/>
    </row>
    <row r="31" spans="1:17" ht="13">
      <c r="A31" s="206"/>
      <c r="B31" s="13"/>
      <c r="C31" s="12"/>
      <c r="D31" s="171"/>
      <c r="E31" s="513"/>
      <c r="F31" s="253"/>
      <c r="G31" s="514"/>
      <c r="H31" s="253"/>
      <c r="I31" s="530"/>
      <c r="K31" s="200"/>
      <c r="M31" s="35"/>
      <c r="N31" s="529"/>
      <c r="O31" s="530"/>
      <c r="P31" s="531"/>
      <c r="Q31" s="530"/>
    </row>
    <row r="32" spans="1:17">
      <c r="A32" s="206"/>
      <c r="B32" s="13"/>
      <c r="C32" s="12"/>
      <c r="D32" s="105"/>
      <c r="E32" s="105"/>
      <c r="F32" s="105"/>
      <c r="G32" s="105"/>
      <c r="H32" s="105"/>
      <c r="I32" s="19"/>
      <c r="J32" s="199"/>
      <c r="K32" s="200"/>
    </row>
    <row r="33" spans="1:17" ht="13.5" thickBot="1">
      <c r="A33" s="206"/>
      <c r="B33" s="13"/>
      <c r="C33" s="12"/>
      <c r="D33" s="534" t="s">
        <v>70</v>
      </c>
      <c r="E33" s="534"/>
      <c r="F33" s="105"/>
      <c r="G33" s="105"/>
      <c r="H33" s="105"/>
      <c r="I33" s="19"/>
      <c r="J33" s="199"/>
      <c r="K33" s="200"/>
      <c r="N33" s="533"/>
    </row>
    <row r="34" spans="1:17" ht="13" thickBot="1">
      <c r="A34" s="206"/>
      <c r="B34" s="13"/>
      <c r="C34" s="12"/>
      <c r="D34" s="535" t="s">
        <v>66</v>
      </c>
      <c r="E34" s="910">
        <f>VLOOKUP(CONCATENATE("remaining_",D34),Assets_Daten,3,0)</f>
        <v>60.937068815420339</v>
      </c>
      <c r="F34" s="548"/>
      <c r="G34" s="549"/>
      <c r="H34" s="548"/>
      <c r="I34" s="199"/>
      <c r="J34" s="199"/>
      <c r="K34" s="200"/>
      <c r="M34" s="550"/>
      <c r="N34" s="551"/>
      <c r="O34" s="548"/>
      <c r="P34" s="549"/>
      <c r="Q34" s="548"/>
    </row>
    <row r="35" spans="1:17">
      <c r="A35" s="206"/>
      <c r="B35" s="13"/>
      <c r="C35" s="12"/>
      <c r="D35" s="227"/>
      <c r="E35" s="260"/>
      <c r="F35" s="548"/>
      <c r="G35" s="549"/>
      <c r="H35" s="548"/>
      <c r="I35" s="199"/>
      <c r="J35" s="199"/>
      <c r="K35" s="200"/>
      <c r="M35" s="550"/>
      <c r="N35" s="551"/>
      <c r="O35" s="548"/>
      <c r="P35" s="549"/>
      <c r="Q35" s="548"/>
    </row>
    <row r="36" spans="1:17">
      <c r="A36" s="206"/>
      <c r="B36" s="13"/>
      <c r="C36" s="12"/>
      <c r="D36" s="226"/>
      <c r="E36" s="260"/>
      <c r="F36" s="548"/>
      <c r="G36" s="549"/>
      <c r="H36" s="548"/>
      <c r="I36" s="199"/>
      <c r="J36" s="199"/>
      <c r="K36" s="200"/>
      <c r="M36" s="550"/>
      <c r="N36" s="551"/>
      <c r="O36" s="548"/>
      <c r="P36" s="549"/>
      <c r="Q36" s="548"/>
    </row>
    <row r="37" spans="1:17">
      <c r="A37" s="206"/>
      <c r="B37" s="13"/>
      <c r="C37" s="12"/>
      <c r="D37" s="550"/>
      <c r="E37" s="551"/>
      <c r="F37" s="548"/>
      <c r="G37" s="549"/>
      <c r="H37" s="548"/>
      <c r="I37" s="199"/>
      <c r="J37" s="199"/>
      <c r="K37" s="200"/>
      <c r="M37" s="550"/>
      <c r="N37" s="551"/>
      <c r="O37" s="548"/>
      <c r="P37" s="549"/>
      <c r="Q37" s="548"/>
    </row>
    <row r="38" spans="1:17">
      <c r="A38" s="206"/>
      <c r="B38" s="13"/>
      <c r="C38" s="12"/>
      <c r="D38" s="550"/>
      <c r="E38" s="551"/>
      <c r="F38" s="548"/>
      <c r="G38" s="549"/>
      <c r="H38" s="548"/>
      <c r="I38" s="199"/>
      <c r="J38" s="199"/>
      <c r="K38" s="200"/>
      <c r="M38" s="550"/>
      <c r="N38" s="551"/>
      <c r="O38" s="548"/>
      <c r="P38" s="549"/>
      <c r="Q38" s="548"/>
    </row>
    <row r="39" spans="1:17">
      <c r="A39" s="206"/>
      <c r="B39" s="13"/>
      <c r="C39" s="12"/>
      <c r="D39" s="550"/>
      <c r="E39" s="551"/>
      <c r="F39" s="548"/>
      <c r="G39" s="549"/>
      <c r="H39" s="548"/>
      <c r="I39" s="199"/>
      <c r="J39" s="199"/>
      <c r="K39" s="200"/>
      <c r="M39" s="550"/>
      <c r="N39" s="551"/>
      <c r="O39" s="548"/>
      <c r="P39" s="549"/>
      <c r="Q39" s="548"/>
    </row>
    <row r="40" spans="1:17">
      <c r="A40" s="206"/>
      <c r="B40" s="13"/>
      <c r="C40" s="12"/>
      <c r="D40" s="550"/>
      <c r="E40" s="551"/>
      <c r="F40" s="548"/>
      <c r="G40" s="549"/>
      <c r="H40" s="548"/>
      <c r="I40" s="199"/>
      <c r="J40" s="199"/>
      <c r="K40" s="200"/>
      <c r="M40" s="550"/>
      <c r="N40" s="551"/>
      <c r="O40" s="548"/>
      <c r="P40" s="549"/>
      <c r="Q40" s="548"/>
    </row>
    <row r="41" spans="1:17">
      <c r="A41" s="206"/>
      <c r="B41" s="13"/>
      <c r="C41" s="12"/>
      <c r="D41" s="550"/>
      <c r="E41" s="551"/>
      <c r="F41" s="548"/>
      <c r="G41" s="549"/>
      <c r="H41" s="548"/>
      <c r="I41" s="199"/>
      <c r="J41" s="199"/>
      <c r="K41" s="200"/>
      <c r="M41" s="550"/>
      <c r="N41" s="551"/>
      <c r="O41" s="548"/>
      <c r="P41" s="549"/>
      <c r="Q41" s="548"/>
    </row>
    <row r="42" spans="1:17">
      <c r="A42" s="206"/>
      <c r="B42" s="13"/>
      <c r="C42" s="12"/>
      <c r="D42" s="550"/>
      <c r="E42" s="551"/>
      <c r="F42" s="548"/>
      <c r="G42" s="549"/>
      <c r="H42" s="548"/>
      <c r="I42" s="199"/>
      <c r="J42" s="199"/>
      <c r="K42" s="200"/>
      <c r="M42" s="550"/>
      <c r="N42" s="551"/>
      <c r="O42" s="548"/>
      <c r="P42" s="549"/>
      <c r="Q42" s="548"/>
    </row>
    <row r="43" spans="1:17">
      <c r="A43" s="206"/>
      <c r="B43" s="13"/>
      <c r="C43" s="12"/>
      <c r="D43" s="550"/>
      <c r="E43" s="551"/>
      <c r="F43" s="548"/>
      <c r="G43" s="549"/>
      <c r="H43" s="548"/>
      <c r="I43" s="199"/>
      <c r="J43" s="199"/>
      <c r="K43" s="200"/>
      <c r="M43" s="550"/>
      <c r="N43" s="551"/>
      <c r="O43" s="548"/>
      <c r="P43" s="549"/>
      <c r="Q43" s="548"/>
    </row>
    <row r="44" spans="1:17">
      <c r="A44" s="206"/>
      <c r="B44" s="13"/>
      <c r="C44" s="12"/>
      <c r="D44" s="550"/>
      <c r="E44" s="551"/>
      <c r="F44" s="548"/>
      <c r="G44" s="549"/>
      <c r="H44" s="548"/>
      <c r="I44" s="199"/>
      <c r="J44" s="199"/>
      <c r="K44" s="200"/>
      <c r="M44" s="550"/>
      <c r="N44" s="551"/>
      <c r="O44" s="548"/>
      <c r="P44" s="549"/>
      <c r="Q44" s="548"/>
    </row>
    <row r="45" spans="1:17">
      <c r="A45" s="206"/>
      <c r="B45" s="13"/>
      <c r="C45" s="12"/>
      <c r="D45" s="550"/>
      <c r="E45" s="551"/>
      <c r="F45" s="548"/>
      <c r="G45" s="549"/>
      <c r="H45" s="548"/>
      <c r="I45" s="199"/>
      <c r="J45" s="199"/>
      <c r="K45" s="200"/>
      <c r="M45" s="550"/>
      <c r="N45" s="551"/>
      <c r="O45" s="548"/>
      <c r="P45" s="549"/>
      <c r="Q45" s="548"/>
    </row>
    <row r="46" spans="1:17">
      <c r="A46" s="206"/>
      <c r="B46" s="13"/>
      <c r="C46" s="12"/>
      <c r="D46" s="550"/>
      <c r="E46" s="551"/>
      <c r="F46" s="548"/>
      <c r="G46" s="549"/>
      <c r="H46" s="548"/>
      <c r="I46" s="199"/>
      <c r="J46" s="199"/>
      <c r="K46" s="200"/>
      <c r="M46" s="550"/>
      <c r="N46" s="551"/>
      <c r="O46" s="548"/>
      <c r="P46" s="549"/>
      <c r="Q46" s="548"/>
    </row>
    <row r="47" spans="1:17">
      <c r="A47" s="206"/>
      <c r="B47" s="13"/>
      <c r="C47" s="12"/>
      <c r="D47" s="550"/>
      <c r="E47" s="551"/>
      <c r="F47" s="548"/>
      <c r="G47" s="549"/>
      <c r="H47" s="548"/>
      <c r="I47" s="199"/>
      <c r="J47" s="199"/>
      <c r="K47" s="200"/>
      <c r="M47" s="550"/>
      <c r="N47" s="551"/>
      <c r="O47" s="548"/>
      <c r="P47" s="549"/>
      <c r="Q47" s="548"/>
    </row>
    <row r="48" spans="1:17">
      <c r="A48" s="221"/>
      <c r="B48" s="27"/>
      <c r="C48" s="10"/>
      <c r="D48" s="373"/>
      <c r="E48" s="10"/>
      <c r="F48" s="341"/>
      <c r="G48" s="374"/>
      <c r="H48" s="341"/>
      <c r="I48" s="416"/>
      <c r="J48" s="54"/>
      <c r="K48" s="222"/>
      <c r="M48" s="223"/>
      <c r="N48" s="12"/>
      <c r="O48" s="224"/>
      <c r="P48" s="225"/>
      <c r="Q48" s="224"/>
    </row>
    <row r="49" spans="1:17">
      <c r="A49" s="47"/>
      <c r="B49" s="13"/>
      <c r="C49" s="12"/>
      <c r="D49" s="223"/>
      <c r="E49" s="12"/>
      <c r="F49" s="224"/>
      <c r="G49" s="225"/>
      <c r="H49" s="224"/>
      <c r="I49" s="199"/>
      <c r="J49" s="19"/>
      <c r="K49" s="19"/>
      <c r="L49" s="19"/>
      <c r="M49" s="223"/>
      <c r="N49" s="12"/>
      <c r="O49" s="224"/>
      <c r="P49" s="225"/>
      <c r="Q49" s="224"/>
    </row>
    <row r="50" spans="1:17" s="19" customFormat="1">
      <c r="B50" s="13"/>
      <c r="C50" s="12"/>
      <c r="D50" s="223"/>
      <c r="E50" s="12"/>
      <c r="F50" s="224"/>
      <c r="G50" s="225"/>
      <c r="H50" s="224"/>
      <c r="I50" s="199"/>
      <c r="M50" s="223"/>
      <c r="N50" s="12"/>
      <c r="O50" s="224"/>
      <c r="P50" s="225"/>
      <c r="Q50" s="224"/>
    </row>
    <row r="51" spans="1:17" s="19" customFormat="1">
      <c r="B51" s="13"/>
      <c r="C51" s="12"/>
      <c r="D51" s="223"/>
      <c r="E51" s="12"/>
      <c r="F51" s="224"/>
      <c r="G51" s="225"/>
      <c r="H51" s="224"/>
      <c r="I51" s="199"/>
      <c r="M51" s="223"/>
      <c r="N51" s="12"/>
      <c r="O51" s="224"/>
      <c r="P51" s="225"/>
      <c r="Q51" s="224"/>
    </row>
    <row r="52" spans="1:17" s="123" customFormat="1" ht="15" customHeight="1">
      <c r="B52" s="13"/>
      <c r="C52" s="12"/>
      <c r="D52" s="223"/>
      <c r="E52" s="12"/>
      <c r="F52" s="224"/>
      <c r="G52" s="225"/>
      <c r="H52" s="224"/>
      <c r="I52" s="129"/>
      <c r="M52" s="223"/>
      <c r="N52" s="12"/>
      <c r="O52" s="224"/>
      <c r="P52" s="225"/>
      <c r="Q52" s="224"/>
    </row>
    <row r="53" spans="1:17" s="123" customFormat="1">
      <c r="B53" s="13"/>
      <c r="C53" s="12"/>
      <c r="D53" s="223"/>
      <c r="E53" s="12"/>
      <c r="F53" s="224"/>
      <c r="G53" s="225"/>
      <c r="H53" s="224"/>
      <c r="I53" s="129"/>
      <c r="M53" s="223"/>
      <c r="N53" s="12"/>
      <c r="O53" s="224"/>
      <c r="P53" s="225"/>
      <c r="Q53" s="224"/>
    </row>
    <row r="54" spans="1:17" s="19" customFormat="1">
      <c r="B54" s="13"/>
      <c r="C54" s="12"/>
      <c r="D54" s="223"/>
      <c r="E54" s="12"/>
      <c r="F54" s="224"/>
      <c r="G54" s="225"/>
      <c r="H54" s="224"/>
      <c r="I54" s="199"/>
      <c r="M54" s="223"/>
      <c r="N54" s="12"/>
      <c r="O54" s="224"/>
      <c r="P54" s="225"/>
      <c r="Q54" s="224"/>
    </row>
    <row r="55" spans="1:17" s="19" customFormat="1">
      <c r="B55" s="13"/>
      <c r="C55" s="12"/>
      <c r="D55" s="223"/>
      <c r="E55" s="12"/>
      <c r="F55" s="224"/>
      <c r="G55" s="225"/>
      <c r="H55" s="224"/>
      <c r="I55" s="199"/>
      <c r="M55" s="223"/>
      <c r="N55" s="12"/>
      <c r="O55" s="224"/>
      <c r="P55" s="225"/>
      <c r="Q55" s="224"/>
    </row>
    <row r="56" spans="1:17" s="19" customFormat="1">
      <c r="B56" s="13"/>
      <c r="C56" s="12"/>
      <c r="D56" s="223"/>
      <c r="E56" s="12"/>
      <c r="F56" s="224"/>
      <c r="G56" s="225"/>
      <c r="H56" s="224"/>
      <c r="I56" s="199"/>
      <c r="M56" s="223"/>
      <c r="N56" s="12"/>
      <c r="O56" s="224"/>
      <c r="P56" s="225"/>
      <c r="Q56" s="224"/>
    </row>
    <row r="57" spans="1:17" s="19" customFormat="1">
      <c r="B57" s="13"/>
      <c r="C57" s="12"/>
      <c r="D57" s="223"/>
      <c r="E57" s="12"/>
      <c r="F57" s="224"/>
      <c r="G57" s="225"/>
      <c r="H57" s="224"/>
      <c r="I57" s="199"/>
      <c r="M57" s="223"/>
      <c r="N57" s="12"/>
      <c r="O57" s="224"/>
      <c r="P57" s="225"/>
      <c r="Q57" s="224"/>
    </row>
    <row r="58" spans="1:17" s="19" customFormat="1">
      <c r="B58" s="13"/>
      <c r="C58" s="12"/>
      <c r="D58" s="223"/>
      <c r="E58" s="12"/>
      <c r="F58" s="224"/>
      <c r="G58" s="225"/>
      <c r="H58" s="224"/>
      <c r="I58" s="199"/>
      <c r="M58" s="223"/>
      <c r="N58" s="12"/>
      <c r="O58" s="224"/>
      <c r="P58" s="225"/>
      <c r="Q58" s="224"/>
    </row>
    <row r="59" spans="1:17" s="19" customFormat="1">
      <c r="B59" s="13"/>
      <c r="C59" s="12"/>
      <c r="D59" s="223"/>
      <c r="E59" s="12"/>
      <c r="F59" s="224"/>
      <c r="G59" s="225"/>
      <c r="H59" s="224"/>
      <c r="I59" s="199"/>
      <c r="M59" s="223"/>
      <c r="N59" s="12"/>
      <c r="O59" s="224"/>
      <c r="P59" s="225"/>
      <c r="Q59" s="224"/>
    </row>
    <row r="60" spans="1:17" s="19" customFormat="1">
      <c r="B60" s="13"/>
      <c r="C60" s="12"/>
      <c r="D60" s="223"/>
      <c r="E60" s="12"/>
      <c r="F60" s="224"/>
      <c r="G60" s="225"/>
      <c r="H60" s="224"/>
      <c r="I60" s="19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6"/>
      <c r="E82" s="227"/>
      <c r="F82" s="259"/>
      <c r="G82" s="229"/>
      <c r="H82" s="259"/>
      <c r="I82" s="199"/>
      <c r="M82" s="226"/>
      <c r="N82" s="227"/>
      <c r="O82" s="259"/>
      <c r="P82" s="229"/>
      <c r="Q82" s="259"/>
    </row>
    <row r="83" spans="2:17" s="19" customFormat="1">
      <c r="B83" s="13"/>
      <c r="C83" s="12"/>
      <c r="D83" s="226"/>
      <c r="E83" s="226"/>
      <c r="F83" s="226"/>
      <c r="G83" s="226"/>
      <c r="H83" s="226"/>
      <c r="I83" s="199"/>
      <c r="M83" s="226"/>
      <c r="N83" s="226"/>
      <c r="O83" s="226"/>
      <c r="P83" s="226"/>
      <c r="Q83" s="226"/>
    </row>
    <row r="84" spans="2:17" s="19" customFormat="1">
      <c r="B84" s="13"/>
      <c r="C84" s="12"/>
      <c r="D84" s="226"/>
      <c r="E84" s="226"/>
      <c r="F84" s="226"/>
      <c r="G84" s="226"/>
      <c r="H84" s="226"/>
      <c r="I84" s="199"/>
      <c r="M84" s="226"/>
      <c r="N84" s="226"/>
      <c r="O84" s="226"/>
      <c r="P84" s="226"/>
      <c r="Q84" s="226"/>
    </row>
    <row r="85" spans="2:17" s="19" customFormat="1">
      <c r="B85" s="13"/>
      <c r="C85" s="12"/>
      <c r="D85" s="230"/>
      <c r="E85" s="260"/>
      <c r="F85" s="226"/>
      <c r="G85" s="226"/>
      <c r="H85" s="226"/>
      <c r="I85" s="199"/>
      <c r="M85" s="230"/>
      <c r="N85" s="260"/>
      <c r="O85" s="226"/>
      <c r="P85" s="226"/>
      <c r="Q85" s="226"/>
    </row>
    <row r="86" spans="2:17" s="19" customFormat="1">
      <c r="B86" s="13"/>
      <c r="C86" s="12"/>
      <c r="D86" s="227"/>
      <c r="E86" s="260"/>
      <c r="F86" s="226"/>
      <c r="G86" s="226"/>
      <c r="H86" s="226"/>
      <c r="I86" s="199"/>
      <c r="M86" s="227"/>
      <c r="N86" s="260"/>
      <c r="O86" s="226"/>
      <c r="P86" s="226"/>
      <c r="Q86" s="226"/>
    </row>
    <row r="87" spans="2:17" s="19" customFormat="1">
      <c r="B87" s="13"/>
      <c r="C87" s="12"/>
      <c r="D87" s="226"/>
      <c r="E87" s="260"/>
      <c r="F87" s="226"/>
      <c r="G87" s="226"/>
      <c r="H87" s="226"/>
      <c r="I87" s="199"/>
      <c r="M87" s="226"/>
      <c r="N87" s="260"/>
      <c r="O87" s="226"/>
      <c r="P87" s="226"/>
      <c r="Q87" s="226"/>
    </row>
    <row r="88" spans="2:17" s="19" customFormat="1" ht="14">
      <c r="B88" s="226"/>
      <c r="C88" s="227"/>
      <c r="D88" s="232"/>
      <c r="E88" s="232"/>
      <c r="F88" s="232"/>
      <c r="G88" s="232"/>
      <c r="H88" s="232"/>
      <c r="I88" s="199"/>
      <c r="M88" s="232"/>
      <c r="N88" s="232"/>
      <c r="O88" s="232"/>
      <c r="P88" s="232"/>
      <c r="Q88" s="232"/>
    </row>
    <row r="89" spans="2:17" s="19" customFormat="1" ht="14">
      <c r="B89" s="123"/>
      <c r="C89" s="123"/>
      <c r="D89" s="232"/>
      <c r="E89" s="232"/>
      <c r="F89" s="232"/>
      <c r="G89" s="232"/>
      <c r="H89" s="232"/>
      <c r="I89" s="199"/>
      <c r="M89" s="232"/>
      <c r="N89" s="232"/>
      <c r="O89" s="232"/>
      <c r="P89" s="232"/>
      <c r="Q89" s="232"/>
    </row>
    <row r="90" spans="2:17" s="19" customFormat="1" ht="14">
      <c r="B90" s="123"/>
      <c r="C90" s="123"/>
      <c r="D90" s="233"/>
      <c r="E90" s="261"/>
      <c r="F90" s="232"/>
      <c r="G90" s="232"/>
      <c r="H90" s="232"/>
      <c r="I90" s="199"/>
      <c r="M90" s="233"/>
      <c r="N90" s="261"/>
      <c r="O90" s="232"/>
      <c r="P90" s="232"/>
      <c r="Q90" s="232"/>
    </row>
    <row r="91" spans="2:17" s="19" customFormat="1" ht="14">
      <c r="B91" s="230"/>
      <c r="C91" s="260"/>
      <c r="D91" s="235"/>
      <c r="E91" s="261"/>
      <c r="F91" s="232"/>
      <c r="G91" s="232"/>
      <c r="H91" s="232"/>
      <c r="I91" s="199"/>
      <c r="M91" s="235"/>
      <c r="N91" s="261"/>
      <c r="O91" s="232"/>
      <c r="P91" s="232"/>
      <c r="Q91" s="232"/>
    </row>
    <row r="92" spans="2:17" s="19" customFormat="1" ht="14">
      <c r="B92" s="236"/>
      <c r="C92" s="260"/>
      <c r="D92" s="232"/>
      <c r="E92" s="261"/>
      <c r="F92" s="232"/>
      <c r="G92" s="232"/>
      <c r="H92" s="232"/>
      <c r="I92" s="199"/>
      <c r="M92" s="232"/>
      <c r="N92" s="261"/>
      <c r="O92" s="232"/>
      <c r="P92" s="232"/>
      <c r="Q92" s="232"/>
    </row>
    <row r="93" spans="2:17" s="19" customFormat="1">
      <c r="C93" s="260"/>
      <c r="I93" s="199"/>
    </row>
    <row r="94" spans="2:17" s="19" customFormat="1">
      <c r="I94" s="199"/>
    </row>
    <row r="95" spans="2:17" s="19" customFormat="1">
      <c r="I95" s="199"/>
    </row>
    <row r="96" spans="2:17"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row r="313" spans="9:9" s="19" customFormat="1"/>
    <row r="314" spans="9:9" s="19" customFormat="1"/>
    <row r="315" spans="9:9" s="19" customFormat="1"/>
    <row r="316" spans="9:9" s="19" customFormat="1"/>
    <row r="317" spans="9:9" s="19" customFormat="1"/>
    <row r="318" spans="9:9" s="19" customFormat="1"/>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topLeftCell="A2"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151</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3.453125" style="124" customWidth="1"/>
    <col min="4" max="4" width="18.81640625" style="124" customWidth="1"/>
    <col min="5" max="5" width="20.81640625" style="124" customWidth="1"/>
    <col min="6" max="6" width="19.54296875" style="124" customWidth="1"/>
    <col min="7" max="8" width="19" style="124" customWidth="1"/>
    <col min="9" max="10" width="15.453125" style="124" customWidth="1"/>
    <col min="11" max="11" width="1.1796875" style="124" customWidth="1"/>
    <col min="12" max="12" width="3.1796875" style="124" customWidth="1"/>
    <col min="13" max="13" width="18.81640625" style="19" customWidth="1"/>
    <col min="14" max="14" width="18.54296875" style="19" customWidth="1"/>
    <col min="15" max="15" width="19.54296875" style="19" customWidth="1"/>
    <col min="16" max="17" width="19" style="19" customWidth="1"/>
    <col min="18" max="16384" width="9.1796875" style="124"/>
  </cols>
  <sheetData>
    <row r="1" spans="1:17" ht="6" customHeight="1">
      <c r="A1" s="180"/>
      <c r="B1" s="47"/>
      <c r="C1" s="47"/>
      <c r="D1" s="47"/>
      <c r="E1" s="47"/>
      <c r="F1" s="47"/>
      <c r="G1" s="47"/>
      <c r="H1" s="47"/>
      <c r="I1" s="47"/>
      <c r="J1" s="47"/>
      <c r="K1" s="181"/>
    </row>
    <row r="2" spans="1:17"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row>
    <row r="3" spans="1:17"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row>
    <row r="4" spans="1:17" s="105" customFormat="1" ht="13">
      <c r="A4" s="133"/>
      <c r="B4" s="184"/>
      <c r="C4" s="185"/>
      <c r="D4" s="141" t="str">
        <f>'Cover Sheet'!D4</f>
        <v>Period  No</v>
      </c>
      <c r="E4" s="142"/>
      <c r="F4" s="146">
        <f>'Cover Sheet'!F4</f>
        <v>27</v>
      </c>
      <c r="G4" s="142"/>
      <c r="H4" s="147"/>
      <c r="I4" s="142"/>
      <c r="J4" s="148"/>
      <c r="K4" s="383"/>
      <c r="M4" s="115"/>
      <c r="N4" s="19"/>
      <c r="O4" s="256"/>
      <c r="P4" s="19"/>
      <c r="Q4" s="115"/>
    </row>
    <row r="5" spans="1:17" s="105" customFormat="1" ht="18">
      <c r="A5" s="133"/>
      <c r="B5" s="187" t="s">
        <v>152</v>
      </c>
      <c r="C5" s="149"/>
      <c r="D5" s="141" t="str">
        <f>'Cover Sheet'!D5</f>
        <v>Monthly Period</v>
      </c>
      <c r="E5" s="142"/>
      <c r="F5" s="150">
        <f>'Cover Sheet'!F5</f>
        <v>45975</v>
      </c>
      <c r="G5" s="142"/>
      <c r="H5" s="147"/>
      <c r="I5" s="142"/>
      <c r="J5" s="148"/>
      <c r="K5" s="154"/>
      <c r="M5" s="115"/>
      <c r="N5" s="19"/>
      <c r="O5" s="518"/>
      <c r="P5" s="19"/>
      <c r="Q5" s="115"/>
    </row>
    <row r="6" spans="1:17"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256"/>
      <c r="Q6" s="497"/>
    </row>
    <row r="7" spans="1:17"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row>
    <row r="8" spans="1:17" s="105" customFormat="1" ht="13">
      <c r="A8" s="133"/>
      <c r="B8" s="123"/>
      <c r="C8" s="123"/>
      <c r="D8" s="123"/>
      <c r="E8" s="163"/>
      <c r="F8" s="162"/>
      <c r="G8" s="163"/>
      <c r="H8" s="123"/>
      <c r="I8" s="193"/>
      <c r="J8" s="123"/>
      <c r="K8" s="154"/>
      <c r="M8" s="19"/>
      <c r="N8" s="501"/>
      <c r="O8" s="256"/>
      <c r="P8" s="501"/>
      <c r="Q8" s="19"/>
    </row>
    <row r="9" spans="1:17" s="105" customFormat="1">
      <c r="A9" s="133"/>
      <c r="K9" s="139"/>
      <c r="M9" s="19"/>
      <c r="N9" s="19"/>
      <c r="O9" s="19"/>
      <c r="P9" s="19"/>
      <c r="Q9" s="19"/>
    </row>
    <row r="10" spans="1:17" s="105" customFormat="1">
      <c r="A10" s="133"/>
      <c r="B10" s="123"/>
      <c r="C10" s="123"/>
      <c r="D10" s="19"/>
      <c r="E10" s="123"/>
      <c r="F10" s="129"/>
      <c r="G10" s="123"/>
      <c r="H10" s="123"/>
      <c r="I10" s="19"/>
      <c r="J10" s="19"/>
      <c r="K10" s="139"/>
      <c r="M10" s="19"/>
      <c r="N10" s="19"/>
      <c r="O10" s="199"/>
      <c r="P10" s="19"/>
      <c r="Q10" s="19"/>
    </row>
    <row r="11" spans="1:17" s="105" customFormat="1" ht="18">
      <c r="A11" s="133"/>
      <c r="B11" s="195"/>
      <c r="C11" s="123"/>
      <c r="D11" s="19"/>
      <c r="E11" s="123"/>
      <c r="F11" s="19"/>
      <c r="G11" s="385"/>
      <c r="H11" s="385"/>
      <c r="I11" s="19"/>
      <c r="K11" s="139"/>
      <c r="M11" s="45"/>
      <c r="N11" s="19"/>
      <c r="O11" s="19"/>
      <c r="P11" s="386"/>
      <c r="Q11" s="386"/>
    </row>
    <row r="12" spans="1:17" s="105" customFormat="1" ht="13" thickBot="1">
      <c r="A12" s="133"/>
      <c r="B12" s="123"/>
      <c r="C12" s="19"/>
      <c r="D12" s="19"/>
      <c r="E12" s="19"/>
      <c r="F12" s="19"/>
      <c r="G12" s="386"/>
      <c r="H12" s="386"/>
      <c r="I12" s="19"/>
      <c r="J12" s="19"/>
      <c r="K12" s="139"/>
      <c r="M12" s="19"/>
      <c r="N12" s="19"/>
      <c r="O12" s="19"/>
      <c r="P12" s="386"/>
      <c r="Q12" s="386"/>
    </row>
    <row r="13" spans="1:17" s="105" customFormat="1" ht="31.5" customHeight="1">
      <c r="A13" s="133"/>
      <c r="B13" s="198"/>
      <c r="C13" s="198"/>
      <c r="D13" s="519" t="s">
        <v>78</v>
      </c>
      <c r="E13" s="520" t="s">
        <v>72</v>
      </c>
      <c r="F13" s="521" t="s">
        <v>114</v>
      </c>
      <c r="G13" s="522" t="s">
        <v>62</v>
      </c>
      <c r="H13" s="523" t="s">
        <v>115</v>
      </c>
      <c r="I13" s="198"/>
      <c r="J13" s="19"/>
      <c r="K13" s="139"/>
      <c r="M13" s="240"/>
      <c r="N13" s="241"/>
      <c r="O13" s="516"/>
      <c r="P13" s="516"/>
      <c r="Q13" s="243"/>
    </row>
    <row r="14" spans="1:17">
      <c r="A14" s="206"/>
      <c r="B14" s="13"/>
      <c r="C14" s="12"/>
      <c r="D14" s="909" t="s">
        <v>756</v>
      </c>
      <c r="E14" s="524">
        <f t="shared" ref="E14:E29" si="0">VLOOKUP(CONCATENATE("origterm_",D14),Assets_Daten,3,0)</f>
        <v>151.21</v>
      </c>
      <c r="F14" s="525">
        <f>E14/$E$30</f>
        <v>3.0693619008944257E-7</v>
      </c>
      <c r="G14" s="526">
        <f t="shared" ref="G14:G29" si="1">VLOOKUP(CONCATENATE("origterm_",D14),Assets_Daten,2,0)</f>
        <v>3</v>
      </c>
      <c r="H14" s="527">
        <f>G14/$G$30</f>
        <v>8.4045384507634119E-5</v>
      </c>
      <c r="I14" s="245"/>
      <c r="J14" s="19"/>
      <c r="K14" s="200"/>
      <c r="N14" s="389"/>
      <c r="O14" s="245"/>
      <c r="P14" s="390"/>
      <c r="Q14" s="245"/>
    </row>
    <row r="15" spans="1:17">
      <c r="A15" s="206"/>
      <c r="B15" s="13"/>
      <c r="C15" s="12"/>
      <c r="D15" s="118" t="s">
        <v>743</v>
      </c>
      <c r="E15" s="524">
        <f t="shared" si="0"/>
        <v>8680.2099999999991</v>
      </c>
      <c r="F15" s="525">
        <f t="shared" ref="F15:F29" si="2">E15/$E$30</f>
        <v>1.7619671890591099E-5</v>
      </c>
      <c r="G15" s="526">
        <f t="shared" si="1"/>
        <v>26</v>
      </c>
      <c r="H15" s="527">
        <f t="shared" ref="H15:H29" si="3">G15/$G$30</f>
        <v>7.2839333239949576E-4</v>
      </c>
      <c r="I15" s="245"/>
      <c r="J15" s="19"/>
      <c r="K15" s="200"/>
      <c r="N15" s="389"/>
      <c r="O15" s="245"/>
      <c r="P15" s="390"/>
      <c r="Q15" s="245"/>
    </row>
    <row r="16" spans="1:17">
      <c r="A16" s="206"/>
      <c r="B16" s="13"/>
      <c r="C16" s="12"/>
      <c r="D16" s="118" t="s">
        <v>744</v>
      </c>
      <c r="E16" s="524">
        <f t="shared" si="0"/>
        <v>182774.29000000004</v>
      </c>
      <c r="F16" s="525">
        <f t="shared" si="2"/>
        <v>3.7100750095167589E-4</v>
      </c>
      <c r="G16" s="526">
        <f t="shared" si="1"/>
        <v>230</v>
      </c>
      <c r="H16" s="527">
        <f t="shared" si="3"/>
        <v>6.4434794789186159E-3</v>
      </c>
      <c r="I16" s="245"/>
      <c r="J16" s="19"/>
      <c r="K16" s="200"/>
      <c r="N16" s="389"/>
      <c r="O16" s="245"/>
      <c r="P16" s="390"/>
      <c r="Q16" s="245"/>
    </row>
    <row r="17" spans="1:17">
      <c r="A17" s="206"/>
      <c r="B17" s="13"/>
      <c r="C17" s="12"/>
      <c r="D17" s="118" t="s">
        <v>745</v>
      </c>
      <c r="E17" s="524">
        <f t="shared" si="0"/>
        <v>193916.65999999995</v>
      </c>
      <c r="F17" s="525">
        <f t="shared" si="2"/>
        <v>3.9362503019158641E-4</v>
      </c>
      <c r="G17" s="526">
        <f t="shared" si="1"/>
        <v>217</v>
      </c>
      <c r="H17" s="527">
        <f t="shared" si="3"/>
        <v>6.079282812718868E-3</v>
      </c>
      <c r="I17" s="245"/>
      <c r="J17" s="19"/>
      <c r="K17" s="200"/>
      <c r="N17" s="389"/>
      <c r="O17" s="245"/>
      <c r="P17" s="390"/>
      <c r="Q17" s="245"/>
    </row>
    <row r="18" spans="1:17">
      <c r="A18" s="206"/>
      <c r="B18" s="13"/>
      <c r="C18" s="12"/>
      <c r="D18" s="118" t="s">
        <v>746</v>
      </c>
      <c r="E18" s="524">
        <f t="shared" si="0"/>
        <v>2422513.0499999984</v>
      </c>
      <c r="F18" s="525">
        <f t="shared" si="2"/>
        <v>4.9173793135966854E-3</v>
      </c>
      <c r="G18" s="526">
        <f t="shared" si="1"/>
        <v>1464</v>
      </c>
      <c r="H18" s="527">
        <f t="shared" si="3"/>
        <v>4.1014147639725454E-2</v>
      </c>
      <c r="I18" s="245"/>
      <c r="J18" s="19"/>
      <c r="K18" s="200"/>
      <c r="N18" s="389"/>
      <c r="O18" s="245"/>
      <c r="P18" s="390"/>
      <c r="Q18" s="245"/>
    </row>
    <row r="19" spans="1:17">
      <c r="A19" s="206"/>
      <c r="B19" s="13"/>
      <c r="C19" s="12"/>
      <c r="D19" s="118" t="s">
        <v>747</v>
      </c>
      <c r="E19" s="524">
        <f t="shared" si="0"/>
        <v>1426964.0900000003</v>
      </c>
      <c r="F19" s="525">
        <f t="shared" si="2"/>
        <v>2.8965473260964786E-3</v>
      </c>
      <c r="G19" s="526">
        <f t="shared" si="1"/>
        <v>433</v>
      </c>
      <c r="H19" s="527">
        <f t="shared" si="3"/>
        <v>1.2130550497268525E-2</v>
      </c>
      <c r="I19" s="245"/>
      <c r="J19" s="19"/>
      <c r="K19" s="200"/>
      <c r="N19" s="389"/>
      <c r="O19" s="245"/>
      <c r="P19" s="390"/>
      <c r="Q19" s="245"/>
    </row>
    <row r="20" spans="1:17">
      <c r="A20" s="206"/>
      <c r="B20" s="13"/>
      <c r="C20" s="12"/>
      <c r="D20" s="118" t="s">
        <v>748</v>
      </c>
      <c r="E20" s="524">
        <f t="shared" si="0"/>
        <v>7636072.9200000027</v>
      </c>
      <c r="F20" s="525">
        <f t="shared" si="2"/>
        <v>1.5500212481383278E-2</v>
      </c>
      <c r="G20" s="526">
        <f t="shared" si="1"/>
        <v>2413</v>
      </c>
      <c r="H20" s="527">
        <f t="shared" si="3"/>
        <v>6.7600504272307044E-2</v>
      </c>
      <c r="I20" s="245"/>
      <c r="J20" s="19"/>
      <c r="K20" s="200"/>
      <c r="N20" s="389"/>
      <c r="O20" s="245"/>
      <c r="P20" s="390"/>
      <c r="Q20" s="245"/>
    </row>
    <row r="21" spans="1:17">
      <c r="A21" s="206"/>
      <c r="B21" s="13"/>
      <c r="C21" s="12"/>
      <c r="D21" s="118" t="s">
        <v>749</v>
      </c>
      <c r="E21" s="524">
        <f t="shared" si="0"/>
        <v>14494048.840000009</v>
      </c>
      <c r="F21" s="525">
        <f t="shared" si="2"/>
        <v>2.9420991534421712E-2</v>
      </c>
      <c r="G21" s="526">
        <f t="shared" si="1"/>
        <v>2577</v>
      </c>
      <c r="H21" s="527">
        <f t="shared" si="3"/>
        <v>7.2194985292057715E-2</v>
      </c>
      <c r="I21" s="245"/>
      <c r="J21" s="19"/>
      <c r="K21" s="200"/>
      <c r="N21" s="389"/>
      <c r="O21" s="245"/>
      <c r="P21" s="390"/>
      <c r="Q21" s="245"/>
    </row>
    <row r="22" spans="1:17">
      <c r="A22" s="206"/>
      <c r="B22" s="13"/>
      <c r="C22" s="12"/>
      <c r="D22" s="118" t="s">
        <v>750</v>
      </c>
      <c r="E22" s="524">
        <f t="shared" si="0"/>
        <v>5165335.08</v>
      </c>
      <c r="F22" s="525">
        <f t="shared" si="2"/>
        <v>1.0484943257658528E-2</v>
      </c>
      <c r="G22" s="526">
        <f t="shared" si="1"/>
        <v>601</v>
      </c>
      <c r="H22" s="527">
        <f t="shared" si="3"/>
        <v>1.6837092029696035E-2</v>
      </c>
      <c r="I22" s="245"/>
      <c r="J22" s="19"/>
      <c r="K22" s="200"/>
      <c r="N22" s="389"/>
      <c r="O22" s="245"/>
      <c r="P22" s="390"/>
      <c r="Q22" s="245"/>
    </row>
    <row r="23" spans="1:17">
      <c r="A23" s="206"/>
      <c r="B23" s="13"/>
      <c r="C23" s="12"/>
      <c r="D23" s="118" t="s">
        <v>751</v>
      </c>
      <c r="E23" s="524">
        <f t="shared" si="0"/>
        <v>20370000.239999969</v>
      </c>
      <c r="F23" s="525">
        <f t="shared" si="2"/>
        <v>4.1348391414500502E-2</v>
      </c>
      <c r="G23" s="526">
        <f t="shared" si="1"/>
        <v>2317</v>
      </c>
      <c r="H23" s="527">
        <f t="shared" si="3"/>
        <v>6.4911051968062752E-2</v>
      </c>
      <c r="I23" s="245"/>
      <c r="J23" s="19"/>
      <c r="K23" s="200"/>
      <c r="N23" s="389"/>
      <c r="O23" s="245"/>
      <c r="P23" s="390"/>
      <c r="Q23" s="245"/>
    </row>
    <row r="24" spans="1:17">
      <c r="A24" s="206"/>
      <c r="B24" s="13"/>
      <c r="C24" s="12"/>
      <c r="D24" s="118" t="s">
        <v>752</v>
      </c>
      <c r="E24" s="524">
        <f t="shared" si="0"/>
        <v>7389291.7600000035</v>
      </c>
      <c r="F24" s="525">
        <f t="shared" si="2"/>
        <v>1.4999279546813786E-2</v>
      </c>
      <c r="G24" s="526">
        <f t="shared" si="1"/>
        <v>572</v>
      </c>
      <c r="H24" s="527">
        <f t="shared" si="3"/>
        <v>1.6024653312788906E-2</v>
      </c>
      <c r="I24" s="245"/>
      <c r="J24" s="19"/>
      <c r="K24" s="200"/>
      <c r="N24" s="389"/>
      <c r="O24" s="245"/>
      <c r="P24" s="390"/>
      <c r="Q24" s="245"/>
    </row>
    <row r="25" spans="1:17">
      <c r="A25" s="206"/>
      <c r="B25" s="13"/>
      <c r="C25" s="12"/>
      <c r="D25" s="118" t="s">
        <v>753</v>
      </c>
      <c r="E25" s="524">
        <f t="shared" si="0"/>
        <v>55305995.140000142</v>
      </c>
      <c r="F25" s="525">
        <f t="shared" si="2"/>
        <v>0.1122638148097141</v>
      </c>
      <c r="G25" s="526">
        <f t="shared" si="1"/>
        <v>4980</v>
      </c>
      <c r="H25" s="527">
        <f t="shared" si="3"/>
        <v>0.13951533828267265</v>
      </c>
      <c r="I25" s="245"/>
      <c r="J25" s="19"/>
      <c r="K25" s="200"/>
      <c r="N25" s="389"/>
      <c r="O25" s="245"/>
      <c r="P25" s="390"/>
      <c r="Q25" s="245"/>
    </row>
    <row r="26" spans="1:17">
      <c r="A26" s="206"/>
      <c r="B26" s="13"/>
      <c r="C26" s="12"/>
      <c r="D26" s="118" t="s">
        <v>754</v>
      </c>
      <c r="E26" s="524">
        <f t="shared" si="0"/>
        <v>239350925.33000079</v>
      </c>
      <c r="F26" s="525">
        <f t="shared" si="2"/>
        <v>0.4858505463605125</v>
      </c>
      <c r="G26" s="526">
        <f t="shared" si="1"/>
        <v>13805</v>
      </c>
      <c r="H26" s="527">
        <f t="shared" si="3"/>
        <v>0.38674884437596302</v>
      </c>
      <c r="I26" s="245"/>
      <c r="J26" s="19"/>
      <c r="K26" s="200"/>
      <c r="N26" s="389"/>
      <c r="O26" s="245"/>
      <c r="P26" s="390"/>
      <c r="Q26" s="245"/>
    </row>
    <row r="27" spans="1:17">
      <c r="A27" s="206"/>
      <c r="B27" s="13"/>
      <c r="C27" s="12"/>
      <c r="D27" s="118" t="s">
        <v>757</v>
      </c>
      <c r="E27" s="524">
        <f t="shared" si="0"/>
        <v>113987828.17999998</v>
      </c>
      <c r="F27" s="525">
        <f t="shared" si="2"/>
        <v>0.23138013159274645</v>
      </c>
      <c r="G27" s="526">
        <f t="shared" si="1"/>
        <v>5274</v>
      </c>
      <c r="H27" s="527">
        <f t="shared" si="3"/>
        <v>0.14775178596442079</v>
      </c>
      <c r="I27" s="245"/>
      <c r="J27" s="19"/>
      <c r="K27" s="200"/>
      <c r="N27" s="389"/>
      <c r="O27" s="245"/>
      <c r="P27" s="390"/>
      <c r="Q27" s="245"/>
    </row>
    <row r="28" spans="1:17">
      <c r="A28" s="206"/>
      <c r="B28" s="13"/>
      <c r="C28" s="12"/>
      <c r="D28" s="118" t="s">
        <v>758</v>
      </c>
      <c r="E28" s="524">
        <f t="shared" si="0"/>
        <v>21278650.790000003</v>
      </c>
      <c r="F28" s="525">
        <f t="shared" si="2"/>
        <v>4.3192831186603449E-2</v>
      </c>
      <c r="G28" s="526">
        <f t="shared" si="1"/>
        <v>678</v>
      </c>
      <c r="H28" s="527">
        <f t="shared" si="3"/>
        <v>1.899425689872531E-2</v>
      </c>
      <c r="I28" s="245"/>
      <c r="J28" s="19"/>
      <c r="K28" s="200"/>
      <c r="N28" s="389"/>
      <c r="O28" s="245"/>
      <c r="P28" s="390"/>
      <c r="Q28" s="245"/>
    </row>
    <row r="29" spans="1:17" ht="13" thickBot="1">
      <c r="A29" s="206"/>
      <c r="B29" s="13"/>
      <c r="C29" s="12"/>
      <c r="D29" s="118" t="s">
        <v>759</v>
      </c>
      <c r="E29" s="524">
        <f t="shared" si="0"/>
        <v>3429964.6299999994</v>
      </c>
      <c r="F29" s="525">
        <f t="shared" si="2"/>
        <v>6.962372036728684E-3</v>
      </c>
      <c r="G29" s="526">
        <f t="shared" si="1"/>
        <v>105</v>
      </c>
      <c r="H29" s="527">
        <f t="shared" si="3"/>
        <v>2.9415884577671941E-3</v>
      </c>
      <c r="I29" s="245"/>
      <c r="J29" s="19"/>
      <c r="K29" s="200"/>
      <c r="N29" s="389"/>
      <c r="O29" s="245"/>
      <c r="P29" s="390"/>
      <c r="Q29" s="245"/>
    </row>
    <row r="30" spans="1:17" ht="14" thickTop="1" thickBot="1">
      <c r="A30" s="206"/>
      <c r="B30" s="13"/>
      <c r="C30" s="12"/>
      <c r="D30" s="512" t="s">
        <v>36</v>
      </c>
      <c r="E30" s="564">
        <f>SUM(E14:E29)</f>
        <v>492643112.42000085</v>
      </c>
      <c r="F30" s="930">
        <f>SUM(F14:F29)</f>
        <v>1</v>
      </c>
      <c r="G30" s="566">
        <f>SUM(G14:G29)</f>
        <v>35695</v>
      </c>
      <c r="H30" s="567">
        <f>SUM(H14:H29)</f>
        <v>1.0000000000000002</v>
      </c>
      <c r="I30" s="19"/>
      <c r="J30" s="19"/>
      <c r="K30" s="200"/>
      <c r="M30" s="528"/>
      <c r="N30" s="529"/>
      <c r="O30" s="530"/>
      <c r="P30" s="531"/>
      <c r="Q30" s="530"/>
    </row>
    <row r="31" spans="1:17" ht="18" customHeight="1">
      <c r="A31" s="206"/>
      <c r="B31" s="13"/>
      <c r="C31" s="12"/>
      <c r="D31" s="105"/>
      <c r="E31" s="105"/>
      <c r="F31" s="105"/>
      <c r="G31" s="105"/>
      <c r="H31" s="105"/>
      <c r="I31" s="19"/>
      <c r="J31" s="19"/>
      <c r="K31" s="200"/>
    </row>
    <row r="32" spans="1:17">
      <c r="A32" s="206"/>
      <c r="B32" s="13"/>
      <c r="C32" s="12"/>
      <c r="D32" s="105"/>
      <c r="E32" s="105"/>
      <c r="F32" s="105"/>
      <c r="G32" s="105"/>
      <c r="H32" s="105"/>
      <c r="I32" s="19"/>
      <c r="J32" s="19"/>
      <c r="K32" s="200"/>
    </row>
    <row r="33" spans="1:14">
      <c r="A33" s="206"/>
      <c r="B33" s="13"/>
      <c r="C33" s="12"/>
      <c r="D33" s="105"/>
      <c r="E33" s="532"/>
      <c r="F33" s="105"/>
      <c r="G33" s="105"/>
      <c r="H33" s="105"/>
      <c r="I33" s="19"/>
      <c r="J33" s="19"/>
      <c r="K33" s="200"/>
      <c r="N33" s="533"/>
    </row>
    <row r="34" spans="1:14" ht="13.5" thickBot="1">
      <c r="A34" s="206"/>
      <c r="B34" s="13"/>
      <c r="C34" s="12"/>
      <c r="D34" s="534" t="s">
        <v>70</v>
      </c>
      <c r="E34" s="534"/>
      <c r="F34" s="105"/>
      <c r="G34" s="105"/>
      <c r="H34" s="105"/>
      <c r="I34" s="250"/>
      <c r="J34" s="19"/>
      <c r="K34" s="200"/>
    </row>
    <row r="35" spans="1:14" ht="13" thickBot="1">
      <c r="A35" s="206"/>
      <c r="B35" s="13"/>
      <c r="C35" s="12"/>
      <c r="D35" s="535" t="s">
        <v>67</v>
      </c>
      <c r="E35" s="910">
        <f>VLOOKUP(CONCATENATE("origterm_",D35),Assets_Daten,3,0)</f>
        <v>92.987784775574653</v>
      </c>
      <c r="F35" s="19"/>
      <c r="G35" s="19"/>
      <c r="H35" s="19"/>
      <c r="I35" s="19"/>
      <c r="J35" s="19"/>
      <c r="K35" s="200"/>
    </row>
    <row r="36" spans="1:14">
      <c r="A36" s="206"/>
      <c r="B36" s="13"/>
      <c r="C36" s="12"/>
      <c r="D36" s="227"/>
      <c r="E36" s="260"/>
      <c r="F36" s="19"/>
      <c r="G36" s="19"/>
      <c r="H36" s="19"/>
      <c r="I36" s="19"/>
      <c r="J36" s="19"/>
      <c r="K36" s="200"/>
    </row>
    <row r="37" spans="1:14">
      <c r="A37" s="206"/>
      <c r="B37" s="13"/>
      <c r="C37" s="12"/>
      <c r="D37" s="226"/>
      <c r="E37" s="260"/>
      <c r="F37" s="19"/>
      <c r="G37" s="19"/>
      <c r="H37" s="19"/>
      <c r="I37" s="19"/>
      <c r="J37" s="19"/>
      <c r="K37" s="200"/>
    </row>
    <row r="38" spans="1:14">
      <c r="A38" s="206"/>
      <c r="B38" s="13"/>
      <c r="C38" s="12"/>
      <c r="D38" s="19"/>
      <c r="E38" s="19"/>
      <c r="F38" s="19"/>
      <c r="G38" s="19"/>
      <c r="H38" s="19"/>
      <c r="I38" s="19"/>
      <c r="J38" s="19"/>
      <c r="K38" s="200"/>
    </row>
    <row r="39" spans="1:14">
      <c r="A39" s="206"/>
      <c r="B39" s="13"/>
      <c r="C39" s="12"/>
      <c r="D39" s="19"/>
      <c r="E39" s="19"/>
      <c r="F39" s="19"/>
      <c r="G39" s="19"/>
      <c r="H39" s="19"/>
      <c r="I39" s="19"/>
      <c r="J39" s="19"/>
      <c r="K39" s="200"/>
    </row>
    <row r="40" spans="1:14">
      <c r="A40" s="206"/>
      <c r="B40" s="13"/>
      <c r="C40" s="12"/>
      <c r="D40" s="19"/>
      <c r="E40" s="19"/>
      <c r="F40" s="19"/>
      <c r="G40" s="19"/>
      <c r="H40" s="19"/>
      <c r="I40" s="19"/>
      <c r="J40" s="19"/>
      <c r="K40" s="200"/>
    </row>
    <row r="41" spans="1:14">
      <c r="A41" s="206"/>
      <c r="B41" s="13"/>
      <c r="C41" s="12"/>
      <c r="D41" s="19"/>
      <c r="E41" s="19"/>
      <c r="F41" s="19"/>
      <c r="G41" s="19"/>
      <c r="H41" s="19"/>
      <c r="I41" s="19"/>
      <c r="J41" s="19"/>
      <c r="K41" s="200"/>
    </row>
    <row r="42" spans="1:14">
      <c r="A42" s="206"/>
      <c r="B42" s="13"/>
      <c r="C42" s="12"/>
      <c r="D42" s="19"/>
      <c r="E42" s="19"/>
      <c r="F42" s="19"/>
      <c r="G42" s="19"/>
      <c r="H42" s="19"/>
      <c r="I42" s="19"/>
      <c r="J42" s="19"/>
      <c r="K42" s="200"/>
    </row>
    <row r="43" spans="1:14">
      <c r="A43" s="206"/>
      <c r="B43" s="13"/>
      <c r="C43" s="12"/>
      <c r="D43" s="19"/>
      <c r="E43" s="19"/>
      <c r="F43" s="19"/>
      <c r="G43" s="19"/>
      <c r="H43" s="19"/>
      <c r="I43" s="19"/>
      <c r="J43" s="19"/>
      <c r="K43" s="200"/>
    </row>
    <row r="44" spans="1:14">
      <c r="A44" s="206"/>
      <c r="B44" s="13"/>
      <c r="C44" s="12"/>
      <c r="D44" s="19"/>
      <c r="E44" s="19"/>
      <c r="F44" s="19"/>
      <c r="G44" s="19"/>
      <c r="H44" s="19"/>
      <c r="I44" s="19"/>
      <c r="J44" s="19"/>
      <c r="K44" s="200"/>
    </row>
    <row r="45" spans="1:14">
      <c r="A45" s="206"/>
      <c r="B45" s="13"/>
      <c r="C45" s="12"/>
      <c r="D45" s="19"/>
      <c r="E45" s="19"/>
      <c r="F45" s="19"/>
      <c r="G45" s="19"/>
      <c r="H45" s="19"/>
      <c r="I45" s="19"/>
      <c r="J45" s="19"/>
      <c r="K45" s="200"/>
    </row>
    <row r="46" spans="1:14">
      <c r="A46" s="206"/>
      <c r="B46" s="13"/>
      <c r="C46" s="12"/>
      <c r="D46" s="19"/>
      <c r="E46" s="19"/>
      <c r="F46" s="19"/>
      <c r="G46" s="19"/>
      <c r="H46" s="19"/>
      <c r="I46" s="19"/>
      <c r="J46" s="19"/>
      <c r="K46" s="200"/>
    </row>
    <row r="47" spans="1:14">
      <c r="A47" s="206"/>
      <c r="B47" s="13"/>
      <c r="C47" s="12"/>
      <c r="D47" s="19"/>
      <c r="E47" s="19"/>
      <c r="F47" s="19"/>
      <c r="G47" s="19"/>
      <c r="H47" s="19"/>
      <c r="I47" s="19"/>
      <c r="J47" s="19"/>
      <c r="K47" s="200"/>
    </row>
    <row r="48" spans="1:14">
      <c r="A48" s="206"/>
      <c r="B48" s="13"/>
      <c r="C48" s="12"/>
      <c r="D48" s="19"/>
      <c r="E48" s="19"/>
      <c r="F48" s="19"/>
      <c r="G48" s="19"/>
      <c r="H48" s="19"/>
      <c r="I48" s="19"/>
      <c r="J48" s="19"/>
      <c r="K48" s="200"/>
    </row>
    <row r="49" spans="1:17">
      <c r="A49" s="206"/>
      <c r="B49" s="13"/>
      <c r="C49" s="12"/>
      <c r="D49" s="19"/>
      <c r="E49" s="19"/>
      <c r="F49" s="19"/>
      <c r="G49" s="19"/>
      <c r="H49" s="19"/>
      <c r="I49" s="19"/>
      <c r="J49" s="19"/>
      <c r="K49" s="200"/>
    </row>
    <row r="50" spans="1:17">
      <c r="A50" s="206"/>
      <c r="B50" s="13"/>
      <c r="C50" s="12"/>
      <c r="D50" s="19"/>
      <c r="E50" s="19"/>
      <c r="F50" s="19"/>
      <c r="G50" s="19"/>
      <c r="H50" s="19"/>
      <c r="I50" s="19"/>
      <c r="J50" s="19"/>
      <c r="K50" s="200"/>
    </row>
    <row r="51" spans="1:17">
      <c r="A51" s="206"/>
      <c r="B51" s="13"/>
      <c r="C51" s="12"/>
      <c r="D51" s="19"/>
      <c r="E51" s="19"/>
      <c r="F51" s="19"/>
      <c r="G51" s="19"/>
      <c r="H51" s="19"/>
      <c r="I51" s="19"/>
      <c r="J51" s="19"/>
      <c r="K51" s="200"/>
    </row>
    <row r="52" spans="1:17">
      <c r="A52" s="206"/>
      <c r="B52" s="13"/>
      <c r="C52" s="12"/>
      <c r="D52" s="19"/>
      <c r="E52" s="19"/>
      <c r="F52" s="19"/>
      <c r="G52" s="19"/>
      <c r="H52" s="19"/>
      <c r="I52" s="19"/>
      <c r="J52" s="19"/>
      <c r="K52" s="200"/>
    </row>
    <row r="53" spans="1:17">
      <c r="A53" s="206"/>
      <c r="B53" s="13"/>
      <c r="C53" s="12"/>
      <c r="D53" s="19"/>
      <c r="E53" s="19"/>
      <c r="F53" s="19"/>
      <c r="G53" s="19"/>
      <c r="H53" s="19"/>
      <c r="I53" s="19"/>
      <c r="J53" s="19"/>
      <c r="K53" s="200"/>
    </row>
    <row r="54" spans="1:17">
      <c r="A54" s="206"/>
      <c r="B54" s="13"/>
      <c r="C54" s="12"/>
      <c r="D54" s="19"/>
      <c r="E54" s="19"/>
      <c r="F54" s="19"/>
      <c r="G54" s="19"/>
      <c r="H54" s="19"/>
      <c r="I54" s="19"/>
      <c r="J54" s="19"/>
      <c r="K54" s="200"/>
    </row>
    <row r="55" spans="1:17">
      <c r="A55" s="221"/>
      <c r="B55" s="27"/>
      <c r="C55" s="10"/>
      <c r="D55" s="373"/>
      <c r="E55" s="10"/>
      <c r="F55" s="341"/>
      <c r="G55" s="374"/>
      <c r="H55" s="341"/>
      <c r="I55" s="416"/>
      <c r="J55" s="54"/>
      <c r="K55" s="222"/>
      <c r="M55" s="223"/>
      <c r="N55" s="12"/>
      <c r="O55" s="224"/>
      <c r="P55" s="225"/>
      <c r="Q55" s="224"/>
    </row>
    <row r="56" spans="1:17">
      <c r="A56" s="47"/>
      <c r="B56" s="13"/>
      <c r="C56" s="12"/>
      <c r="D56" s="223"/>
      <c r="E56" s="12"/>
      <c r="F56" s="224"/>
      <c r="G56" s="225"/>
      <c r="H56" s="224"/>
      <c r="I56" s="199"/>
      <c r="J56" s="19"/>
      <c r="K56" s="19"/>
      <c r="L56" s="19"/>
      <c r="M56" s="223"/>
      <c r="N56" s="12"/>
      <c r="O56" s="224"/>
      <c r="P56" s="225"/>
      <c r="Q56" s="224"/>
    </row>
    <row r="57" spans="1:17" s="19" customFormat="1">
      <c r="B57" s="13"/>
      <c r="C57" s="12"/>
      <c r="D57" s="223"/>
      <c r="E57" s="12"/>
      <c r="F57" s="224"/>
      <c r="G57" s="225"/>
      <c r="H57" s="224"/>
      <c r="I57" s="199"/>
      <c r="M57" s="223"/>
      <c r="N57" s="12"/>
      <c r="O57" s="224"/>
      <c r="P57" s="225"/>
      <c r="Q57" s="224"/>
    </row>
    <row r="58" spans="1:17" s="19" customFormat="1">
      <c r="B58" s="13"/>
      <c r="C58" s="12"/>
      <c r="D58" s="223"/>
      <c r="E58" s="12"/>
      <c r="F58" s="224"/>
      <c r="G58" s="225"/>
      <c r="H58" s="224"/>
      <c r="I58" s="199"/>
      <c r="M58" s="223"/>
      <c r="N58" s="12"/>
      <c r="O58" s="224"/>
      <c r="P58" s="225"/>
      <c r="Q58" s="224"/>
    </row>
    <row r="59" spans="1:17" s="123" customFormat="1" ht="15" customHeight="1">
      <c r="B59" s="13"/>
      <c r="C59" s="12"/>
      <c r="D59" s="223"/>
      <c r="E59" s="12"/>
      <c r="F59" s="224"/>
      <c r="G59" s="225"/>
      <c r="H59" s="224"/>
      <c r="I59" s="129"/>
      <c r="M59" s="223"/>
      <c r="N59" s="12"/>
      <c r="O59" s="224"/>
      <c r="P59" s="225"/>
      <c r="Q59" s="224"/>
    </row>
    <row r="60" spans="1:17" s="123" customFormat="1">
      <c r="B60" s="13"/>
      <c r="C60" s="12"/>
      <c r="D60" s="223"/>
      <c r="E60" s="12"/>
      <c r="F60" s="224"/>
      <c r="G60" s="225"/>
      <c r="H60" s="224"/>
      <c r="I60" s="129"/>
      <c r="M60" s="223"/>
      <c r="N60" s="12"/>
      <c r="O60" s="224"/>
      <c r="P60" s="225"/>
      <c r="Q60" s="224"/>
    </row>
    <row r="61" spans="1:17" s="19" customFormat="1">
      <c r="B61" s="13"/>
      <c r="C61" s="12"/>
      <c r="D61" s="223"/>
      <c r="E61" s="12"/>
      <c r="F61" s="224"/>
      <c r="G61" s="225"/>
      <c r="H61" s="224"/>
      <c r="I61" s="199"/>
      <c r="M61" s="223"/>
      <c r="N61" s="12"/>
      <c r="O61" s="224"/>
      <c r="P61" s="225"/>
      <c r="Q61" s="224"/>
    </row>
    <row r="62" spans="1:17" s="19" customFormat="1">
      <c r="B62" s="13"/>
      <c r="C62" s="12"/>
      <c r="D62" s="223"/>
      <c r="E62" s="12"/>
      <c r="F62" s="224"/>
      <c r="G62" s="225"/>
      <c r="H62" s="224"/>
      <c r="I62" s="199"/>
      <c r="M62" s="223"/>
      <c r="N62" s="12"/>
      <c r="O62" s="224"/>
      <c r="P62" s="225"/>
      <c r="Q62" s="224"/>
    </row>
    <row r="63" spans="1:17" s="19" customFormat="1">
      <c r="B63" s="13"/>
      <c r="C63" s="12"/>
      <c r="D63" s="223"/>
      <c r="E63" s="12"/>
      <c r="F63" s="224"/>
      <c r="G63" s="225"/>
      <c r="H63" s="224"/>
      <c r="I63" s="199"/>
      <c r="M63" s="223"/>
      <c r="N63" s="12"/>
      <c r="O63" s="224"/>
      <c r="P63" s="225"/>
      <c r="Q63" s="224"/>
    </row>
    <row r="64" spans="1:17" s="19" customFormat="1">
      <c r="B64" s="13"/>
      <c r="C64" s="12"/>
      <c r="D64" s="223"/>
      <c r="E64" s="12"/>
      <c r="F64" s="224"/>
      <c r="G64" s="225"/>
      <c r="H64" s="224"/>
      <c r="I64" s="199"/>
      <c r="M64" s="223"/>
      <c r="N64" s="12"/>
      <c r="O64" s="224"/>
      <c r="P64" s="225"/>
      <c r="Q64" s="224"/>
    </row>
    <row r="65" spans="2:17" s="19" customFormat="1">
      <c r="B65" s="13"/>
      <c r="C65" s="12"/>
      <c r="D65" s="223"/>
      <c r="E65" s="12"/>
      <c r="F65" s="224"/>
      <c r="G65" s="225"/>
      <c r="H65" s="224"/>
      <c r="I65" s="199"/>
      <c r="M65" s="223"/>
      <c r="N65" s="12"/>
      <c r="O65" s="224"/>
      <c r="P65" s="225"/>
      <c r="Q65" s="224"/>
    </row>
    <row r="66" spans="2:17" s="19" customFormat="1">
      <c r="B66" s="13"/>
      <c r="C66" s="12"/>
      <c r="D66" s="223"/>
      <c r="E66" s="12"/>
      <c r="F66" s="224"/>
      <c r="G66" s="225"/>
      <c r="H66" s="224"/>
      <c r="I66" s="199"/>
      <c r="M66" s="223"/>
      <c r="N66" s="12"/>
      <c r="O66" s="224"/>
      <c r="P66" s="225"/>
      <c r="Q66" s="224"/>
    </row>
    <row r="67" spans="2:17" s="19" customFormat="1">
      <c r="B67" s="13"/>
      <c r="C67" s="12"/>
      <c r="D67" s="223"/>
      <c r="E67" s="12"/>
      <c r="F67" s="224"/>
      <c r="G67" s="225"/>
      <c r="H67" s="224"/>
      <c r="I67" s="199"/>
      <c r="M67" s="223"/>
      <c r="N67" s="12"/>
      <c r="O67" s="224"/>
      <c r="P67" s="225"/>
      <c r="Q67" s="224"/>
    </row>
    <row r="68" spans="2:17" s="19" customFormat="1">
      <c r="B68" s="13"/>
      <c r="C68" s="12"/>
      <c r="D68" s="223"/>
      <c r="E68" s="12"/>
      <c r="F68" s="224"/>
      <c r="G68" s="225"/>
      <c r="H68" s="224"/>
      <c r="I68" s="199"/>
      <c r="M68" s="223"/>
      <c r="N68" s="12"/>
      <c r="O68" s="224"/>
      <c r="P68" s="225"/>
      <c r="Q68" s="224"/>
    </row>
    <row r="69" spans="2:17" s="19" customFormat="1">
      <c r="B69" s="13"/>
      <c r="C69" s="12"/>
      <c r="D69" s="223"/>
      <c r="E69" s="12"/>
      <c r="F69" s="224"/>
      <c r="G69" s="225"/>
      <c r="H69" s="224"/>
      <c r="I69" s="199"/>
      <c r="M69" s="223"/>
      <c r="N69" s="12"/>
      <c r="O69" s="224"/>
      <c r="P69" s="225"/>
      <c r="Q69" s="224"/>
    </row>
    <row r="70" spans="2:17" s="19" customFormat="1">
      <c r="B70" s="13"/>
      <c r="C70" s="12"/>
      <c r="D70" s="223"/>
      <c r="E70" s="12"/>
      <c r="F70" s="224"/>
      <c r="G70" s="225"/>
      <c r="H70" s="224"/>
      <c r="I70" s="199"/>
      <c r="M70" s="223"/>
      <c r="N70" s="12"/>
      <c r="O70" s="224"/>
      <c r="P70" s="225"/>
      <c r="Q70" s="224"/>
    </row>
    <row r="71" spans="2:17" s="19" customFormat="1">
      <c r="B71" s="13"/>
      <c r="C71" s="12"/>
      <c r="D71" s="223"/>
      <c r="E71" s="12"/>
      <c r="F71" s="224"/>
      <c r="G71" s="225"/>
      <c r="H71" s="224"/>
      <c r="I71" s="199"/>
      <c r="M71" s="223"/>
      <c r="N71" s="12"/>
      <c r="O71" s="224"/>
      <c r="P71" s="225"/>
      <c r="Q71" s="224"/>
    </row>
    <row r="72" spans="2:17" s="19" customFormat="1">
      <c r="B72" s="13"/>
      <c r="C72" s="12"/>
      <c r="D72" s="223"/>
      <c r="E72" s="12"/>
      <c r="F72" s="224"/>
      <c r="G72" s="225"/>
      <c r="H72" s="224"/>
      <c r="I72" s="199"/>
      <c r="M72" s="223"/>
      <c r="N72" s="12"/>
      <c r="O72" s="224"/>
      <c r="P72" s="225"/>
      <c r="Q72" s="224"/>
    </row>
    <row r="73" spans="2:17" s="19" customFormat="1">
      <c r="B73" s="13"/>
      <c r="C73" s="12"/>
      <c r="D73" s="223"/>
      <c r="E73" s="12"/>
      <c r="F73" s="224"/>
      <c r="G73" s="225"/>
      <c r="H73" s="224"/>
      <c r="I73" s="199"/>
      <c r="M73" s="223"/>
      <c r="N73" s="12"/>
      <c r="O73" s="224"/>
      <c r="P73" s="225"/>
      <c r="Q73" s="224"/>
    </row>
    <row r="74" spans="2:17" s="19" customFormat="1">
      <c r="B74" s="13"/>
      <c r="C74" s="12"/>
      <c r="D74" s="223"/>
      <c r="E74" s="12"/>
      <c r="F74" s="224"/>
      <c r="G74" s="225"/>
      <c r="H74" s="224"/>
      <c r="I74" s="199"/>
      <c r="M74" s="223"/>
      <c r="N74" s="12"/>
      <c r="O74" s="224"/>
      <c r="P74" s="225"/>
      <c r="Q74" s="224"/>
    </row>
    <row r="75" spans="2:17" s="19" customFormat="1">
      <c r="B75" s="13"/>
      <c r="C75" s="12"/>
      <c r="D75" s="223"/>
      <c r="E75" s="12"/>
      <c r="F75" s="224"/>
      <c r="G75" s="225"/>
      <c r="H75" s="224"/>
      <c r="I75" s="199"/>
      <c r="M75" s="223"/>
      <c r="N75" s="12"/>
      <c r="O75" s="224"/>
      <c r="P75" s="225"/>
      <c r="Q75" s="224"/>
    </row>
    <row r="76" spans="2:17" s="19" customFormat="1">
      <c r="B76" s="13"/>
      <c r="C76" s="12"/>
      <c r="D76" s="223"/>
      <c r="E76" s="12"/>
      <c r="F76" s="224"/>
      <c r="G76" s="225"/>
      <c r="H76" s="224"/>
      <c r="I76" s="199"/>
      <c r="M76" s="223"/>
      <c r="N76" s="12"/>
      <c r="O76" s="224"/>
      <c r="P76" s="225"/>
      <c r="Q76" s="224"/>
    </row>
    <row r="77" spans="2:17" s="19" customFormat="1">
      <c r="B77" s="13"/>
      <c r="C77" s="12"/>
      <c r="D77" s="223"/>
      <c r="E77" s="12"/>
      <c r="F77" s="224"/>
      <c r="G77" s="225"/>
      <c r="H77" s="224"/>
      <c r="I77" s="199"/>
      <c r="M77" s="223"/>
      <c r="N77" s="12"/>
      <c r="O77" s="224"/>
      <c r="P77" s="225"/>
      <c r="Q77" s="224"/>
    </row>
    <row r="78" spans="2:17" s="19" customFormat="1">
      <c r="B78" s="13"/>
      <c r="C78" s="12"/>
      <c r="D78" s="223"/>
      <c r="E78" s="12"/>
      <c r="F78" s="224"/>
      <c r="G78" s="225"/>
      <c r="H78" s="224"/>
      <c r="I78" s="199"/>
      <c r="M78" s="223"/>
      <c r="N78" s="12"/>
      <c r="O78" s="224"/>
      <c r="P78" s="225"/>
      <c r="Q78" s="224"/>
    </row>
    <row r="79" spans="2:17" s="19" customFormat="1">
      <c r="B79" s="13"/>
      <c r="C79" s="12"/>
      <c r="D79" s="223"/>
      <c r="E79" s="12"/>
      <c r="F79" s="224"/>
      <c r="G79" s="225"/>
      <c r="H79" s="224"/>
      <c r="I79" s="199"/>
      <c r="M79" s="223"/>
      <c r="N79" s="12"/>
      <c r="O79" s="224"/>
      <c r="P79" s="225"/>
      <c r="Q79" s="224"/>
    </row>
    <row r="80" spans="2:17" s="19" customFormat="1">
      <c r="B80" s="13"/>
      <c r="C80" s="12"/>
      <c r="D80" s="223"/>
      <c r="E80" s="12"/>
      <c r="F80" s="224"/>
      <c r="G80" s="225"/>
      <c r="H80" s="224"/>
      <c r="I80" s="199"/>
      <c r="M80" s="223"/>
      <c r="N80" s="12"/>
      <c r="O80" s="224"/>
      <c r="P80" s="225"/>
      <c r="Q80" s="224"/>
    </row>
    <row r="81" spans="2:17" s="19" customFormat="1">
      <c r="B81" s="13"/>
      <c r="C81" s="12"/>
      <c r="D81" s="223"/>
      <c r="E81" s="12"/>
      <c r="F81" s="224"/>
      <c r="G81" s="225"/>
      <c r="H81" s="224"/>
      <c r="I81" s="199"/>
      <c r="M81" s="223"/>
      <c r="N81" s="12"/>
      <c r="O81" s="224"/>
      <c r="P81" s="225"/>
      <c r="Q81" s="224"/>
    </row>
    <row r="82" spans="2:17" s="19" customFormat="1">
      <c r="B82" s="13"/>
      <c r="C82" s="12"/>
      <c r="D82" s="223"/>
      <c r="E82" s="12"/>
      <c r="F82" s="224"/>
      <c r="G82" s="225"/>
      <c r="H82" s="224"/>
      <c r="I82" s="199"/>
      <c r="M82" s="223"/>
      <c r="N82" s="12"/>
      <c r="O82" s="224"/>
      <c r="P82" s="225"/>
      <c r="Q82" s="224"/>
    </row>
    <row r="83" spans="2:17" s="19" customFormat="1">
      <c r="B83" s="13"/>
      <c r="C83" s="12"/>
      <c r="D83" s="223"/>
      <c r="E83" s="12"/>
      <c r="F83" s="224"/>
      <c r="G83" s="225"/>
      <c r="H83" s="224"/>
      <c r="I83" s="199"/>
      <c r="M83" s="223"/>
      <c r="N83" s="12"/>
      <c r="O83" s="224"/>
      <c r="P83" s="225"/>
      <c r="Q83" s="224"/>
    </row>
    <row r="84" spans="2:17" s="19" customFormat="1">
      <c r="B84" s="13"/>
      <c r="C84" s="12"/>
      <c r="D84" s="223"/>
      <c r="E84" s="12"/>
      <c r="F84" s="224"/>
      <c r="G84" s="225"/>
      <c r="H84" s="224"/>
      <c r="I84" s="199"/>
      <c r="M84" s="223"/>
      <c r="N84" s="12"/>
      <c r="O84" s="224"/>
      <c r="P84" s="225"/>
      <c r="Q84" s="224"/>
    </row>
    <row r="85" spans="2:17" s="19" customFormat="1">
      <c r="B85" s="13"/>
      <c r="C85" s="12"/>
      <c r="D85" s="223"/>
      <c r="E85" s="12"/>
      <c r="F85" s="224"/>
      <c r="G85" s="225"/>
      <c r="H85" s="224"/>
      <c r="I85" s="199"/>
      <c r="M85" s="223"/>
      <c r="N85" s="12"/>
      <c r="O85" s="224"/>
      <c r="P85" s="225"/>
      <c r="Q85" s="224"/>
    </row>
    <row r="86" spans="2:17" s="19" customFormat="1">
      <c r="B86" s="13"/>
      <c r="C86" s="12"/>
      <c r="D86" s="223"/>
      <c r="E86" s="12"/>
      <c r="F86" s="224"/>
      <c r="G86" s="225"/>
      <c r="H86" s="224"/>
      <c r="I86" s="199"/>
      <c r="M86" s="223"/>
      <c r="N86" s="12"/>
      <c r="O86" s="224"/>
      <c r="P86" s="225"/>
      <c r="Q86" s="224"/>
    </row>
    <row r="87" spans="2:17" s="19" customFormat="1">
      <c r="B87" s="13"/>
      <c r="C87" s="12"/>
      <c r="D87" s="223"/>
      <c r="E87" s="12"/>
      <c r="F87" s="224"/>
      <c r="G87" s="225"/>
      <c r="H87" s="224"/>
      <c r="I87" s="199"/>
      <c r="M87" s="223"/>
      <c r="N87" s="12"/>
      <c r="O87" s="224"/>
      <c r="P87" s="225"/>
      <c r="Q87" s="224"/>
    </row>
    <row r="88" spans="2:17" s="19" customFormat="1">
      <c r="B88" s="13"/>
      <c r="C88" s="12"/>
      <c r="D88" s="223"/>
      <c r="E88" s="12"/>
      <c r="F88" s="224"/>
      <c r="G88" s="225"/>
      <c r="H88" s="224"/>
      <c r="I88" s="199"/>
      <c r="M88" s="223"/>
      <c r="N88" s="12"/>
      <c r="O88" s="224"/>
      <c r="P88" s="225"/>
      <c r="Q88" s="224"/>
    </row>
    <row r="89" spans="2:17" s="19" customFormat="1">
      <c r="B89" s="13"/>
      <c r="C89" s="12"/>
      <c r="D89" s="226"/>
      <c r="E89" s="227"/>
      <c r="F89" s="259"/>
      <c r="G89" s="229"/>
      <c r="H89" s="259"/>
      <c r="I89" s="199"/>
      <c r="M89" s="226"/>
      <c r="N89" s="227"/>
      <c r="O89" s="259"/>
      <c r="P89" s="229"/>
      <c r="Q89" s="259"/>
    </row>
    <row r="90" spans="2:17" s="19" customFormat="1">
      <c r="B90" s="13"/>
      <c r="C90" s="12"/>
      <c r="D90" s="226"/>
      <c r="E90" s="226"/>
      <c r="F90" s="226"/>
      <c r="G90" s="226"/>
      <c r="H90" s="226"/>
      <c r="I90" s="199"/>
      <c r="M90" s="226"/>
      <c r="N90" s="226"/>
      <c r="O90" s="226"/>
      <c r="P90" s="226"/>
      <c r="Q90" s="226"/>
    </row>
    <row r="91" spans="2:17" s="19" customFormat="1">
      <c r="B91" s="13"/>
      <c r="C91" s="12"/>
      <c r="D91" s="226"/>
      <c r="E91" s="226"/>
      <c r="F91" s="226"/>
      <c r="G91" s="226"/>
      <c r="H91" s="226"/>
      <c r="I91" s="199"/>
      <c r="M91" s="226"/>
      <c r="N91" s="226"/>
      <c r="O91" s="226"/>
      <c r="P91" s="226"/>
      <c r="Q91" s="226"/>
    </row>
    <row r="92" spans="2:17" s="19" customFormat="1">
      <c r="B92" s="13"/>
      <c r="C92" s="12"/>
      <c r="D92" s="230"/>
      <c r="E92" s="260"/>
      <c r="F92" s="226"/>
      <c r="G92" s="226"/>
      <c r="H92" s="226"/>
      <c r="I92" s="199"/>
      <c r="M92" s="230"/>
      <c r="N92" s="260"/>
      <c r="O92" s="226"/>
      <c r="P92" s="226"/>
      <c r="Q92" s="226"/>
    </row>
    <row r="93" spans="2:17" s="19" customFormat="1">
      <c r="B93" s="13"/>
      <c r="C93" s="12"/>
      <c r="D93" s="227"/>
      <c r="E93" s="260"/>
      <c r="F93" s="226"/>
      <c r="G93" s="226"/>
      <c r="H93" s="226"/>
      <c r="I93" s="199"/>
      <c r="M93" s="227"/>
      <c r="N93" s="260"/>
      <c r="O93" s="226"/>
      <c r="P93" s="226"/>
      <c r="Q93" s="226"/>
    </row>
    <row r="94" spans="2:17" s="19" customFormat="1">
      <c r="B94" s="13"/>
      <c r="C94" s="12"/>
      <c r="D94" s="226"/>
      <c r="E94" s="260"/>
      <c r="F94" s="226"/>
      <c r="G94" s="226"/>
      <c r="H94" s="226"/>
      <c r="I94" s="199"/>
      <c r="M94" s="226"/>
      <c r="N94" s="260"/>
      <c r="O94" s="226"/>
      <c r="P94" s="226"/>
      <c r="Q94" s="226"/>
    </row>
    <row r="95" spans="2:17" s="19" customFormat="1" ht="14">
      <c r="B95" s="226"/>
      <c r="C95" s="227"/>
      <c r="D95" s="232"/>
      <c r="E95" s="232"/>
      <c r="F95" s="232"/>
      <c r="G95" s="232"/>
      <c r="H95" s="232"/>
      <c r="I95" s="199"/>
      <c r="M95" s="232"/>
      <c r="N95" s="232"/>
      <c r="O95" s="232"/>
      <c r="P95" s="232"/>
      <c r="Q95" s="232"/>
    </row>
    <row r="96" spans="2:17" s="19" customFormat="1" ht="14">
      <c r="B96" s="123"/>
      <c r="C96" s="123"/>
      <c r="D96" s="232"/>
      <c r="E96" s="232"/>
      <c r="F96" s="232"/>
      <c r="G96" s="232"/>
      <c r="H96" s="232"/>
      <c r="I96" s="199"/>
      <c r="M96" s="232"/>
      <c r="N96" s="232"/>
      <c r="O96" s="232"/>
      <c r="P96" s="232"/>
      <c r="Q96" s="232"/>
    </row>
    <row r="97" spans="2:17" s="19" customFormat="1" ht="14">
      <c r="B97" s="123"/>
      <c r="C97" s="123"/>
      <c r="D97" s="233"/>
      <c r="E97" s="261"/>
      <c r="F97" s="232"/>
      <c r="G97" s="232"/>
      <c r="H97" s="232"/>
      <c r="I97" s="199"/>
      <c r="M97" s="233"/>
      <c r="N97" s="261"/>
      <c r="O97" s="232"/>
      <c r="P97" s="232"/>
      <c r="Q97" s="232"/>
    </row>
    <row r="98" spans="2:17" s="19" customFormat="1" ht="14">
      <c r="B98" s="230"/>
      <c r="C98" s="260"/>
      <c r="D98" s="235"/>
      <c r="E98" s="261"/>
      <c r="F98" s="232"/>
      <c r="G98" s="232"/>
      <c r="H98" s="232"/>
      <c r="I98" s="199"/>
      <c r="M98" s="235"/>
      <c r="N98" s="261"/>
      <c r="O98" s="232"/>
      <c r="P98" s="232"/>
      <c r="Q98" s="232"/>
    </row>
    <row r="99" spans="2:17" s="19" customFormat="1" ht="14">
      <c r="B99" s="236"/>
      <c r="C99" s="260"/>
      <c r="D99" s="232"/>
      <c r="E99" s="261"/>
      <c r="F99" s="232"/>
      <c r="G99" s="232"/>
      <c r="H99" s="232"/>
      <c r="I99" s="199"/>
      <c r="M99" s="232"/>
      <c r="N99" s="261"/>
      <c r="O99" s="232"/>
      <c r="P99" s="232"/>
      <c r="Q99" s="232"/>
    </row>
    <row r="100" spans="2:17" s="19" customFormat="1">
      <c r="C100" s="260"/>
      <c r="I100" s="199"/>
    </row>
    <row r="101" spans="2:17" s="19" customFormat="1">
      <c r="I101" s="199"/>
    </row>
    <row r="102" spans="2:17" s="19" customFormat="1">
      <c r="I102" s="199"/>
    </row>
    <row r="103" spans="2:17" s="19" customFormat="1">
      <c r="I103" s="199"/>
    </row>
    <row r="104" spans="2:17" s="19" customFormat="1">
      <c r="I104" s="199"/>
    </row>
    <row r="105" spans="2:17" s="19" customFormat="1">
      <c r="I105" s="199"/>
    </row>
    <row r="106" spans="2:17" s="19" customFormat="1">
      <c r="I106" s="199"/>
    </row>
    <row r="107" spans="2:17" s="19" customFormat="1">
      <c r="I107" s="199"/>
    </row>
    <row r="108" spans="2:17" s="19" customFormat="1">
      <c r="I108" s="199"/>
    </row>
    <row r="109" spans="2:17" s="19" customFormat="1">
      <c r="I109" s="199"/>
    </row>
    <row r="110" spans="2:17" s="19" customFormat="1">
      <c r="I110" s="199"/>
    </row>
    <row r="111" spans="2:17" s="19" customFormat="1">
      <c r="I111" s="199"/>
    </row>
    <row r="112" spans="2:17"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c r="I299" s="199"/>
    </row>
    <row r="300" spans="9:9" s="19" customFormat="1">
      <c r="I300" s="199"/>
    </row>
    <row r="301" spans="9:9" s="19" customFormat="1">
      <c r="I301" s="199"/>
    </row>
    <row r="302" spans="9:9" s="19" customFormat="1">
      <c r="I302" s="199"/>
    </row>
    <row r="303" spans="9:9" s="19" customFormat="1">
      <c r="I303" s="199"/>
    </row>
    <row r="304" spans="9:9" s="19" customFormat="1">
      <c r="I304" s="199"/>
    </row>
    <row r="305" spans="9:9" s="19" customFormat="1">
      <c r="I305" s="199"/>
    </row>
    <row r="306" spans="9:9" s="19" customFormat="1">
      <c r="I306" s="199"/>
    </row>
    <row r="307" spans="9:9" s="19" customFormat="1">
      <c r="I307" s="199"/>
    </row>
    <row r="308" spans="9:9" s="19" customFormat="1">
      <c r="I308" s="199"/>
    </row>
    <row r="309" spans="9:9" s="19" customFormat="1">
      <c r="I309" s="199"/>
    </row>
    <row r="310" spans="9:9" s="19" customFormat="1">
      <c r="I310" s="199"/>
    </row>
    <row r="311" spans="9:9" s="19" customFormat="1">
      <c r="I311" s="199"/>
    </row>
    <row r="312" spans="9:9" s="19" customFormat="1">
      <c r="I312" s="199"/>
    </row>
    <row r="313" spans="9:9" s="19" customFormat="1">
      <c r="I313" s="199"/>
    </row>
    <row r="314" spans="9:9" s="19" customFormat="1">
      <c r="I314" s="199"/>
    </row>
    <row r="315" spans="9:9" s="19" customFormat="1">
      <c r="I315" s="199"/>
    </row>
    <row r="316" spans="9:9" s="19" customFormat="1">
      <c r="I316" s="199"/>
    </row>
    <row r="317" spans="9:9" s="19" customFormat="1">
      <c r="I317" s="199"/>
    </row>
    <row r="318" spans="9:9" s="19" customFormat="1">
      <c r="I318" s="199"/>
    </row>
    <row r="319" spans="9:9" s="19" customFormat="1"/>
    <row r="320" spans="9:9"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row r="2252" s="19" customFormat="1"/>
    <row r="2253" s="19" customFormat="1"/>
    <row r="2254" s="19" customFormat="1"/>
    <row r="2255" s="19" customFormat="1"/>
    <row r="2256" s="19" customFormat="1"/>
    <row r="2257" s="19" customFormat="1"/>
    <row r="2258" s="19"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4.1796875" style="124" customWidth="1"/>
    <col min="4" max="5" width="18.81640625" style="124" customWidth="1"/>
    <col min="6" max="6" width="20.81640625" style="124" customWidth="1"/>
    <col min="7" max="7" width="20.54296875" style="124" customWidth="1"/>
    <col min="8" max="8" width="19" style="124" customWidth="1"/>
    <col min="9" max="9" width="15.54296875" style="124" customWidth="1"/>
    <col min="10" max="10" width="25.54296875" style="124" customWidth="1"/>
    <col min="11" max="11" width="1.1796875" style="124" customWidth="1"/>
    <col min="12" max="12" width="4.1796875" style="124" customWidth="1"/>
    <col min="13"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153</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9"/>
      <c r="F10" s="199"/>
      <c r="G10" s="19"/>
      <c r="H10" s="19"/>
      <c r="I10" s="19"/>
      <c r="J10" s="19"/>
      <c r="K10" s="139"/>
    </row>
    <row r="11" spans="1:13" s="105" customFormat="1" ht="17.5">
      <c r="A11" s="133"/>
      <c r="B11" s="195"/>
      <c r="C11" s="123"/>
      <c r="D11" s="19"/>
      <c r="E11" s="19"/>
      <c r="F11" s="19"/>
      <c r="G11" s="386"/>
      <c r="H11" s="386"/>
      <c r="I11" s="19"/>
      <c r="J11" s="123"/>
      <c r="K11" s="139"/>
      <c r="M11" s="201"/>
    </row>
    <row r="12" spans="1:13" s="105" customFormat="1">
      <c r="A12" s="133"/>
      <c r="B12" s="123"/>
      <c r="C12" s="123"/>
      <c r="D12" s="19"/>
      <c r="E12" s="19"/>
      <c r="F12" s="19"/>
      <c r="G12" s="386"/>
      <c r="H12" s="386"/>
      <c r="I12" s="19"/>
      <c r="J12" s="123"/>
      <c r="K12" s="139"/>
      <c r="M12" s="201"/>
    </row>
    <row r="13" spans="1:13" s="105" customFormat="1" ht="45" customHeight="1">
      <c r="A13" s="133"/>
      <c r="B13" s="515"/>
      <c r="C13" s="19"/>
      <c r="D13" s="242"/>
      <c r="E13" s="516"/>
      <c r="F13" s="241"/>
      <c r="G13" s="516"/>
      <c r="H13" s="516"/>
      <c r="I13" s="199"/>
      <c r="J13" s="123"/>
      <c r="K13" s="139"/>
      <c r="M13" s="201"/>
    </row>
    <row r="14" spans="1:13" s="105" customFormat="1">
      <c r="A14" s="133"/>
      <c r="B14" s="198"/>
      <c r="C14" s="198"/>
      <c r="D14" s="223"/>
      <c r="E14" s="12"/>
      <c r="F14" s="224"/>
      <c r="G14" s="225"/>
      <c r="H14" s="224"/>
      <c r="I14" s="199"/>
      <c r="J14" s="123"/>
      <c r="K14" s="139"/>
      <c r="M14" s="201"/>
    </row>
    <row r="15" spans="1:13">
      <c r="A15" s="206"/>
      <c r="B15" s="13"/>
      <c r="C15" s="12"/>
      <c r="D15" s="223"/>
      <c r="E15" s="12"/>
      <c r="F15" s="224"/>
      <c r="G15" s="225"/>
      <c r="H15" s="224"/>
      <c r="I15" s="199"/>
      <c r="J15" s="19"/>
      <c r="K15" s="200"/>
      <c r="M15" s="201"/>
    </row>
    <row r="16" spans="1:13">
      <c r="A16" s="206"/>
      <c r="B16" s="13"/>
      <c r="C16" s="12"/>
      <c r="D16" s="223"/>
      <c r="E16" s="12"/>
      <c r="F16" s="224"/>
      <c r="G16" s="225"/>
      <c r="H16" s="224"/>
      <c r="I16" s="199"/>
      <c r="J16" s="19"/>
      <c r="K16" s="200"/>
      <c r="M16" s="201"/>
    </row>
    <row r="17" spans="1:13">
      <c r="A17" s="206"/>
      <c r="B17" s="13"/>
      <c r="C17" s="12"/>
      <c r="D17" s="223"/>
      <c r="E17" s="12"/>
      <c r="F17" s="224"/>
      <c r="G17" s="225"/>
      <c r="H17" s="224"/>
      <c r="I17" s="199"/>
      <c r="J17" s="19"/>
      <c r="K17" s="200"/>
      <c r="M17" s="201"/>
    </row>
    <row r="18" spans="1:13">
      <c r="A18" s="206"/>
      <c r="B18" s="13"/>
      <c r="C18" s="12"/>
      <c r="D18" s="223"/>
      <c r="E18" s="12"/>
      <c r="F18" s="224"/>
      <c r="G18" s="225"/>
      <c r="H18" s="224"/>
      <c r="I18" s="199"/>
      <c r="J18" s="19"/>
      <c r="K18" s="200"/>
      <c r="M18" s="201"/>
    </row>
    <row r="19" spans="1:13">
      <c r="A19" s="206"/>
      <c r="B19" s="13"/>
      <c r="C19" s="12"/>
      <c r="D19" s="223"/>
      <c r="E19" s="12"/>
      <c r="F19" s="224"/>
      <c r="G19" s="225"/>
      <c r="H19" s="224"/>
      <c r="I19" s="199"/>
      <c r="J19" s="19"/>
      <c r="K19" s="200"/>
      <c r="M19" s="201"/>
    </row>
    <row r="20" spans="1:13">
      <c r="A20" s="206"/>
      <c r="B20" s="13"/>
      <c r="C20" s="12"/>
      <c r="D20" s="223"/>
      <c r="E20" s="12"/>
      <c r="F20" s="224"/>
      <c r="G20" s="225"/>
      <c r="H20" s="224"/>
      <c r="I20" s="199"/>
      <c r="J20" s="19"/>
      <c r="K20" s="200"/>
      <c r="M20" s="201"/>
    </row>
    <row r="21" spans="1:13">
      <c r="A21" s="206"/>
      <c r="B21" s="13"/>
      <c r="C21" s="12"/>
      <c r="D21" s="117"/>
      <c r="E21" s="12"/>
      <c r="F21" s="224"/>
      <c r="G21" s="225"/>
      <c r="H21" s="224"/>
      <c r="I21" s="199"/>
      <c r="J21" s="19"/>
      <c r="K21" s="200"/>
      <c r="M21" s="201"/>
    </row>
    <row r="22" spans="1:13">
      <c r="A22" s="206"/>
      <c r="B22" s="13"/>
      <c r="C22" s="12"/>
      <c r="D22" s="223"/>
      <c r="E22" s="12"/>
      <c r="F22" s="224"/>
      <c r="G22" s="225"/>
      <c r="H22" s="224"/>
      <c r="I22" s="199"/>
      <c r="J22" s="19"/>
      <c r="K22" s="200"/>
      <c r="M22" s="201"/>
    </row>
    <row r="23" spans="1:13">
      <c r="A23" s="206"/>
      <c r="B23" s="13"/>
      <c r="C23" s="12"/>
      <c r="D23" s="223"/>
      <c r="E23" s="12"/>
      <c r="F23" s="224"/>
      <c r="G23" s="225"/>
      <c r="H23" s="224"/>
      <c r="I23" s="199"/>
      <c r="J23" s="19"/>
      <c r="K23" s="200"/>
      <c r="M23" s="201"/>
    </row>
    <row r="24" spans="1:13">
      <c r="A24" s="206"/>
      <c r="B24" s="13"/>
      <c r="C24" s="12"/>
      <c r="D24" s="223"/>
      <c r="E24" s="12"/>
      <c r="F24" s="224"/>
      <c r="G24" s="225"/>
      <c r="H24" s="224"/>
      <c r="I24" s="199"/>
      <c r="J24" s="19"/>
      <c r="K24" s="200"/>
      <c r="M24" s="201"/>
    </row>
    <row r="25" spans="1:13">
      <c r="A25" s="206"/>
      <c r="B25" s="13"/>
      <c r="C25" s="12"/>
      <c r="D25" s="223"/>
      <c r="E25" s="12"/>
      <c r="F25" s="224"/>
      <c r="G25" s="225"/>
      <c r="H25" s="224"/>
      <c r="I25" s="199"/>
      <c r="J25" s="19"/>
      <c r="K25" s="200"/>
      <c r="M25" s="201"/>
    </row>
    <row r="26" spans="1:13">
      <c r="A26" s="206"/>
      <c r="B26" s="13"/>
      <c r="C26" s="12"/>
      <c r="D26" s="223"/>
      <c r="E26" s="12"/>
      <c r="F26" s="224"/>
      <c r="G26" s="225"/>
      <c r="H26" s="224"/>
      <c r="I26" s="199"/>
      <c r="J26" s="19"/>
      <c r="K26" s="200"/>
      <c r="M26" s="201"/>
    </row>
    <row r="27" spans="1:13">
      <c r="A27" s="206"/>
      <c r="B27" s="13"/>
      <c r="C27" s="12"/>
      <c r="D27" s="223"/>
      <c r="E27" s="12"/>
      <c r="F27" s="224"/>
      <c r="G27" s="225"/>
      <c r="H27" s="224"/>
      <c r="I27" s="199"/>
      <c r="J27" s="19"/>
      <c r="K27" s="200"/>
      <c r="M27" s="201"/>
    </row>
    <row r="28" spans="1:13">
      <c r="A28" s="206"/>
      <c r="B28" s="13"/>
      <c r="C28" s="12"/>
      <c r="D28" s="223"/>
      <c r="E28" s="12"/>
      <c r="F28" s="224"/>
      <c r="G28" s="225"/>
      <c r="H28" s="224"/>
      <c r="I28" s="199"/>
      <c r="J28" s="19"/>
      <c r="K28" s="200"/>
      <c r="M28" s="201"/>
    </row>
    <row r="29" spans="1:13">
      <c r="A29" s="206"/>
      <c r="B29" s="13"/>
      <c r="C29" s="12"/>
      <c r="D29" s="223"/>
      <c r="E29" s="12"/>
      <c r="F29" s="224"/>
      <c r="G29" s="225"/>
      <c r="H29" s="224"/>
      <c r="I29" s="199"/>
      <c r="J29" s="19"/>
      <c r="K29" s="200"/>
      <c r="M29" s="201"/>
    </row>
    <row r="30" spans="1:13">
      <c r="A30" s="206"/>
      <c r="B30" s="13"/>
      <c r="C30" s="12"/>
      <c r="D30" s="223"/>
      <c r="E30" s="12"/>
      <c r="F30" s="224"/>
      <c r="G30" s="225"/>
      <c r="H30" s="224"/>
      <c r="I30" s="199"/>
      <c r="J30" s="199"/>
      <c r="K30" s="200"/>
      <c r="M30" s="201"/>
    </row>
    <row r="31" spans="1:13">
      <c r="A31" s="206"/>
      <c r="B31" s="13"/>
      <c r="C31" s="12"/>
      <c r="D31" s="223"/>
      <c r="E31" s="12"/>
      <c r="F31" s="224"/>
      <c r="G31" s="225"/>
      <c r="H31" s="224"/>
      <c r="I31" s="199"/>
      <c r="J31" s="199"/>
      <c r="K31" s="200"/>
    </row>
    <row r="32" spans="1:13">
      <c r="A32" s="206"/>
      <c r="B32" s="13"/>
      <c r="C32" s="12"/>
      <c r="D32" s="223"/>
      <c r="E32" s="12"/>
      <c r="F32" s="224"/>
      <c r="G32" s="225"/>
      <c r="H32" s="224"/>
      <c r="I32" s="199"/>
      <c r="J32" s="199"/>
      <c r="K32" s="200"/>
    </row>
    <row r="33" spans="1:11">
      <c r="A33" s="206"/>
      <c r="B33" s="13"/>
      <c r="C33" s="12"/>
      <c r="D33" s="223"/>
      <c r="E33" s="12"/>
      <c r="F33" s="224"/>
      <c r="G33" s="225"/>
      <c r="H33" s="224"/>
      <c r="I33" s="199"/>
      <c r="J33" s="199"/>
      <c r="K33" s="200"/>
    </row>
    <row r="34" spans="1:11">
      <c r="A34" s="206"/>
      <c r="B34" s="13"/>
      <c r="C34" s="12"/>
      <c r="D34" s="223"/>
      <c r="E34" s="12"/>
      <c r="F34" s="224"/>
      <c r="G34" s="225"/>
      <c r="H34" s="224"/>
      <c r="I34" s="199"/>
      <c r="J34" s="199"/>
      <c r="K34" s="200"/>
    </row>
    <row r="35" spans="1:11">
      <c r="A35" s="206"/>
      <c r="B35" s="13"/>
      <c r="C35" s="12"/>
      <c r="D35" s="223"/>
      <c r="E35" s="12"/>
      <c r="F35" s="224"/>
      <c r="G35" s="225"/>
      <c r="H35" s="224"/>
      <c r="I35" s="199"/>
      <c r="J35" s="199"/>
      <c r="K35" s="200"/>
    </row>
    <row r="36" spans="1:11">
      <c r="A36" s="206"/>
      <c r="B36" s="13"/>
      <c r="C36" s="12"/>
      <c r="D36" s="223"/>
      <c r="E36" s="12"/>
      <c r="F36" s="224"/>
      <c r="G36" s="225"/>
      <c r="H36" s="224"/>
      <c r="I36" s="199"/>
      <c r="J36" s="199"/>
      <c r="K36" s="200"/>
    </row>
    <row r="37" spans="1:11">
      <c r="A37" s="206"/>
      <c r="B37" s="13"/>
      <c r="C37" s="12"/>
      <c r="D37" s="223"/>
      <c r="E37" s="12"/>
      <c r="F37" s="224"/>
      <c r="G37" s="225"/>
      <c r="H37" s="224"/>
      <c r="I37" s="199"/>
      <c r="J37" s="199"/>
      <c r="K37" s="200"/>
    </row>
    <row r="38" spans="1:11">
      <c r="A38" s="206"/>
      <c r="B38" s="13"/>
      <c r="C38" s="12"/>
      <c r="D38" s="223"/>
      <c r="E38" s="12"/>
      <c r="F38" s="224"/>
      <c r="G38" s="225"/>
      <c r="H38" s="224"/>
      <c r="I38" s="199"/>
      <c r="J38" s="199"/>
      <c r="K38" s="200"/>
    </row>
    <row r="39" spans="1:11">
      <c r="A39" s="206"/>
      <c r="B39" s="13"/>
      <c r="C39" s="12"/>
      <c r="D39" s="223"/>
      <c r="E39" s="12"/>
      <c r="F39" s="224"/>
      <c r="G39" s="225"/>
      <c r="H39" s="224"/>
      <c r="I39" s="199"/>
      <c r="J39" s="199"/>
      <c r="K39" s="200"/>
    </row>
    <row r="40" spans="1:11">
      <c r="A40" s="206"/>
      <c r="B40" s="13"/>
      <c r="C40" s="12"/>
      <c r="D40" s="223"/>
      <c r="E40" s="12"/>
      <c r="F40" s="224"/>
      <c r="G40" s="225"/>
      <c r="H40" s="224"/>
      <c r="I40" s="199"/>
      <c r="J40" s="19"/>
      <c r="K40" s="200"/>
    </row>
    <row r="41" spans="1:11">
      <c r="A41" s="206"/>
      <c r="B41" s="13"/>
      <c r="C41" s="12"/>
      <c r="D41" s="223"/>
      <c r="E41" s="12"/>
      <c r="F41" s="224"/>
      <c r="G41" s="225"/>
      <c r="H41" s="224"/>
      <c r="I41" s="199"/>
      <c r="J41" s="19"/>
      <c r="K41" s="200"/>
    </row>
    <row r="42" spans="1:11">
      <c r="A42" s="206"/>
      <c r="B42" s="13"/>
      <c r="C42" s="12"/>
      <c r="D42" s="223"/>
      <c r="E42" s="12"/>
      <c r="F42" s="224"/>
      <c r="G42" s="225"/>
      <c r="H42" s="224"/>
      <c r="I42" s="199"/>
      <c r="J42" s="19"/>
      <c r="K42" s="200"/>
    </row>
    <row r="43" spans="1:11">
      <c r="A43" s="206"/>
      <c r="B43" s="13"/>
      <c r="C43" s="12"/>
      <c r="D43" s="223"/>
      <c r="E43" s="12"/>
      <c r="F43" s="224"/>
      <c r="G43" s="225"/>
      <c r="H43" s="224"/>
      <c r="I43" s="199"/>
      <c r="J43" s="19"/>
      <c r="K43" s="200"/>
    </row>
    <row r="44" spans="1:11">
      <c r="A44" s="206"/>
      <c r="B44" s="13"/>
      <c r="C44" s="12"/>
      <c r="D44" s="223"/>
      <c r="E44" s="12"/>
      <c r="F44" s="224"/>
      <c r="G44" s="225"/>
      <c r="H44" s="224"/>
      <c r="I44" s="199"/>
      <c r="J44" s="19"/>
      <c r="K44" s="200"/>
    </row>
    <row r="45" spans="1:11" s="105" customFormat="1" ht="12.75" customHeight="1">
      <c r="A45" s="133"/>
      <c r="B45" s="13"/>
      <c r="C45" s="12"/>
      <c r="D45" s="223"/>
      <c r="E45" s="12"/>
      <c r="F45" s="224"/>
      <c r="G45" s="225"/>
      <c r="H45" s="224"/>
      <c r="I45" s="199"/>
      <c r="J45" s="123"/>
      <c r="K45" s="139"/>
    </row>
    <row r="46" spans="1:11" s="105" customFormat="1">
      <c r="A46" s="133"/>
      <c r="B46" s="13"/>
      <c r="C46" s="12"/>
      <c r="D46" s="223"/>
      <c r="E46" s="12"/>
      <c r="F46" s="224"/>
      <c r="G46" s="225"/>
      <c r="H46" s="224"/>
      <c r="I46" s="199"/>
      <c r="J46" s="123"/>
      <c r="K46" s="139"/>
    </row>
    <row r="47" spans="1:11">
      <c r="A47" s="221"/>
      <c r="B47" s="54"/>
      <c r="C47" s="54"/>
      <c r="D47" s="54"/>
      <c r="E47" s="54"/>
      <c r="F47" s="54"/>
      <c r="G47" s="54"/>
      <c r="H47" s="54"/>
      <c r="I47" s="416"/>
      <c r="J47" s="54"/>
      <c r="K47" s="222"/>
    </row>
    <row r="48" spans="1:11">
      <c r="I48" s="517"/>
    </row>
    <row r="49" spans="9:9">
      <c r="I49" s="517"/>
    </row>
    <row r="50" spans="9:9">
      <c r="I50" s="517"/>
    </row>
    <row r="51" spans="9:9">
      <c r="I51" s="517"/>
    </row>
    <row r="52" spans="9:9">
      <c r="I52" s="517"/>
    </row>
    <row r="53" spans="9:9">
      <c r="I53" s="517"/>
    </row>
    <row r="54" spans="9:9">
      <c r="I54" s="517"/>
    </row>
    <row r="55" spans="9:9">
      <c r="I55" s="517"/>
    </row>
    <row r="56" spans="9:9">
      <c r="I56" s="517"/>
    </row>
    <row r="57" spans="9:9">
      <c r="I57" s="517"/>
    </row>
    <row r="58" spans="9:9">
      <c r="I58" s="517"/>
    </row>
    <row r="59" spans="9:9">
      <c r="I59" s="517"/>
    </row>
    <row r="60" spans="9:9">
      <c r="I60" s="517"/>
    </row>
    <row r="61" spans="9:9">
      <c r="I61" s="517"/>
    </row>
    <row r="62" spans="9:9">
      <c r="I62" s="517"/>
    </row>
    <row r="63" spans="9:9">
      <c r="I63" s="517"/>
    </row>
    <row r="64" spans="9:9">
      <c r="I64" s="517"/>
    </row>
    <row r="65" spans="9:9">
      <c r="I65" s="517"/>
    </row>
    <row r="66" spans="9:9">
      <c r="I66" s="517"/>
    </row>
    <row r="67" spans="9:9">
      <c r="I67" s="517"/>
    </row>
    <row r="68" spans="9:9">
      <c r="I68" s="517"/>
    </row>
    <row r="69" spans="9:9">
      <c r="I69" s="517"/>
    </row>
    <row r="70" spans="9:9">
      <c r="I70" s="517"/>
    </row>
    <row r="71" spans="9:9">
      <c r="I71" s="517"/>
    </row>
    <row r="72" spans="9:9">
      <c r="I72" s="517"/>
    </row>
    <row r="73" spans="9:9">
      <c r="I73" s="517"/>
    </row>
    <row r="74" spans="9:9">
      <c r="I74" s="517"/>
    </row>
    <row r="75" spans="9:9">
      <c r="I75" s="517"/>
    </row>
    <row r="76" spans="9:9">
      <c r="I76" s="517"/>
    </row>
    <row r="77" spans="9:9">
      <c r="I77" s="517"/>
    </row>
    <row r="78" spans="9:9">
      <c r="I78" s="517"/>
    </row>
    <row r="79" spans="9:9">
      <c r="I79" s="517"/>
    </row>
    <row r="80" spans="9:9">
      <c r="I80" s="517"/>
    </row>
    <row r="81" spans="9:9">
      <c r="I81" s="517"/>
    </row>
    <row r="82" spans="9:9">
      <c r="I82" s="517"/>
    </row>
    <row r="83" spans="9:9">
      <c r="I83" s="517"/>
    </row>
    <row r="84" spans="9:9">
      <c r="I84" s="517"/>
    </row>
    <row r="85" spans="9:9">
      <c r="I85" s="517"/>
    </row>
    <row r="86" spans="9:9">
      <c r="I86" s="517"/>
    </row>
    <row r="87" spans="9:9">
      <c r="I87" s="517"/>
    </row>
    <row r="88" spans="9:9">
      <c r="I88" s="517"/>
    </row>
    <row r="89" spans="9:9">
      <c r="I89" s="517"/>
    </row>
    <row r="90" spans="9:9">
      <c r="I90" s="517"/>
    </row>
    <row r="91" spans="9:9">
      <c r="I91" s="517"/>
    </row>
    <row r="92" spans="9:9">
      <c r="I92" s="517"/>
    </row>
    <row r="93" spans="9:9">
      <c r="I93" s="517"/>
    </row>
    <row r="94" spans="9:9">
      <c r="I94" s="517"/>
    </row>
    <row r="95" spans="9:9">
      <c r="I95" s="517"/>
    </row>
    <row r="96" spans="9:9">
      <c r="I96" s="517"/>
    </row>
    <row r="97" spans="9:9">
      <c r="I97" s="517"/>
    </row>
    <row r="98" spans="9:9">
      <c r="I98" s="517"/>
    </row>
    <row r="99" spans="9:9">
      <c r="I99" s="517"/>
    </row>
    <row r="100" spans="9:9">
      <c r="I100" s="517"/>
    </row>
    <row r="101" spans="9:9">
      <c r="I101" s="517"/>
    </row>
    <row r="102" spans="9:9">
      <c r="I102" s="517"/>
    </row>
    <row r="103" spans="9:9">
      <c r="I103" s="517"/>
    </row>
    <row r="104" spans="9:9">
      <c r="I104" s="517"/>
    </row>
    <row r="105" spans="9:9">
      <c r="I105" s="517"/>
    </row>
    <row r="106" spans="9:9">
      <c r="I106" s="517"/>
    </row>
    <row r="107" spans="9:9">
      <c r="I107" s="517"/>
    </row>
    <row r="108" spans="9:9">
      <c r="I108" s="517"/>
    </row>
    <row r="109" spans="9:9">
      <c r="I109" s="517"/>
    </row>
    <row r="110" spans="9:9">
      <c r="I110" s="517"/>
    </row>
    <row r="111" spans="9:9">
      <c r="I111" s="517"/>
    </row>
    <row r="112" spans="9:9">
      <c r="I112" s="517"/>
    </row>
    <row r="113" spans="9:9">
      <c r="I113" s="517"/>
    </row>
    <row r="114" spans="9:9">
      <c r="I114" s="517"/>
    </row>
    <row r="115" spans="9:9">
      <c r="I115" s="517"/>
    </row>
    <row r="116" spans="9:9">
      <c r="I116" s="517"/>
    </row>
    <row r="117" spans="9:9">
      <c r="I117" s="517"/>
    </row>
    <row r="118" spans="9:9">
      <c r="I118" s="517"/>
    </row>
    <row r="119" spans="9:9">
      <c r="I119" s="517"/>
    </row>
    <row r="120" spans="9:9">
      <c r="I120" s="517"/>
    </row>
    <row r="121" spans="9:9">
      <c r="I121" s="517"/>
    </row>
    <row r="122" spans="9:9">
      <c r="I122" s="517"/>
    </row>
    <row r="123" spans="9:9">
      <c r="I123" s="517"/>
    </row>
    <row r="124" spans="9:9">
      <c r="I124" s="517"/>
    </row>
    <row r="125" spans="9:9">
      <c r="I125" s="517"/>
    </row>
    <row r="126" spans="9:9">
      <c r="I126" s="517"/>
    </row>
    <row r="127" spans="9:9">
      <c r="I127" s="517"/>
    </row>
    <row r="128" spans="9:9">
      <c r="I128" s="517"/>
    </row>
    <row r="129" spans="9:9">
      <c r="I129" s="517"/>
    </row>
    <row r="130" spans="9:9">
      <c r="I130" s="517"/>
    </row>
    <row r="131" spans="9:9">
      <c r="I131" s="517"/>
    </row>
    <row r="132" spans="9:9">
      <c r="I132" s="517"/>
    </row>
    <row r="133" spans="9:9">
      <c r="I133" s="517"/>
    </row>
    <row r="134" spans="9:9">
      <c r="I134" s="517"/>
    </row>
    <row r="135" spans="9:9">
      <c r="I135" s="517"/>
    </row>
    <row r="136" spans="9:9">
      <c r="I136" s="517"/>
    </row>
    <row r="137" spans="9:9">
      <c r="I137" s="517"/>
    </row>
    <row r="138" spans="9:9">
      <c r="I138" s="517"/>
    </row>
    <row r="139" spans="9:9">
      <c r="I139" s="517"/>
    </row>
    <row r="140" spans="9:9">
      <c r="I140" s="517"/>
    </row>
    <row r="141" spans="9:9">
      <c r="I141" s="517"/>
    </row>
    <row r="142" spans="9:9">
      <c r="I142" s="517"/>
    </row>
    <row r="143" spans="9:9">
      <c r="I143" s="517"/>
    </row>
    <row r="144" spans="9:9">
      <c r="I144" s="517"/>
    </row>
    <row r="145" spans="9:9">
      <c r="I145" s="517"/>
    </row>
    <row r="146" spans="9:9">
      <c r="I146" s="517"/>
    </row>
    <row r="147" spans="9:9">
      <c r="I147" s="517"/>
    </row>
    <row r="148" spans="9:9">
      <c r="I148" s="517"/>
    </row>
    <row r="149" spans="9:9">
      <c r="I149" s="517"/>
    </row>
    <row r="150" spans="9:9">
      <c r="I150" s="517"/>
    </row>
    <row r="151" spans="9:9">
      <c r="I151" s="517"/>
    </row>
    <row r="152" spans="9:9">
      <c r="I152" s="517"/>
    </row>
    <row r="153" spans="9:9">
      <c r="I153" s="517"/>
    </row>
    <row r="154" spans="9:9">
      <c r="I154" s="517"/>
    </row>
    <row r="155" spans="9:9">
      <c r="I155" s="517"/>
    </row>
    <row r="156" spans="9:9">
      <c r="I156" s="517"/>
    </row>
    <row r="157" spans="9:9">
      <c r="I157" s="517"/>
    </row>
    <row r="158" spans="9:9">
      <c r="I158" s="517"/>
    </row>
    <row r="159" spans="9:9">
      <c r="I159" s="517"/>
    </row>
    <row r="160" spans="9:9">
      <c r="I160" s="517"/>
    </row>
    <row r="161" spans="9:9">
      <c r="I161" s="517"/>
    </row>
    <row r="162" spans="9:9">
      <c r="I162" s="517"/>
    </row>
    <row r="163" spans="9:9">
      <c r="I163" s="517"/>
    </row>
    <row r="164" spans="9:9">
      <c r="I164" s="517"/>
    </row>
    <row r="165" spans="9:9">
      <c r="I165" s="517"/>
    </row>
    <row r="166" spans="9:9">
      <c r="I166" s="517"/>
    </row>
    <row r="167" spans="9:9">
      <c r="I167" s="517"/>
    </row>
    <row r="168" spans="9:9">
      <c r="I168" s="517"/>
    </row>
    <row r="169" spans="9:9">
      <c r="I169" s="517"/>
    </row>
    <row r="170" spans="9:9">
      <c r="I170" s="517"/>
    </row>
    <row r="171" spans="9:9">
      <c r="I171" s="517"/>
    </row>
    <row r="172" spans="9:9">
      <c r="I172" s="517"/>
    </row>
    <row r="173" spans="9:9">
      <c r="I173" s="517"/>
    </row>
    <row r="174" spans="9:9">
      <c r="I174" s="517"/>
    </row>
    <row r="175" spans="9:9">
      <c r="I175" s="517"/>
    </row>
    <row r="176" spans="9:9">
      <c r="I176" s="517"/>
    </row>
    <row r="177" spans="9:9">
      <c r="I177" s="517"/>
    </row>
    <row r="178" spans="9:9">
      <c r="I178" s="517"/>
    </row>
    <row r="179" spans="9:9">
      <c r="I179" s="517"/>
    </row>
    <row r="180" spans="9:9">
      <c r="I180" s="517"/>
    </row>
    <row r="181" spans="9:9">
      <c r="I181" s="517"/>
    </row>
    <row r="182" spans="9:9">
      <c r="I182" s="517"/>
    </row>
    <row r="183" spans="9:9">
      <c r="I183" s="517"/>
    </row>
    <row r="184" spans="9:9">
      <c r="I184" s="517"/>
    </row>
    <row r="185" spans="9:9">
      <c r="I185" s="517"/>
    </row>
    <row r="186" spans="9:9">
      <c r="I186" s="517"/>
    </row>
    <row r="187" spans="9:9">
      <c r="I187" s="517"/>
    </row>
    <row r="188" spans="9:9">
      <c r="I188" s="517"/>
    </row>
    <row r="189" spans="9:9">
      <c r="I189" s="517"/>
    </row>
    <row r="190" spans="9:9">
      <c r="I190" s="517"/>
    </row>
    <row r="191" spans="9:9">
      <c r="I191" s="517"/>
    </row>
    <row r="192" spans="9:9">
      <c r="I192" s="517"/>
    </row>
    <row r="193" spans="9:9">
      <c r="I193" s="517"/>
    </row>
    <row r="194" spans="9:9">
      <c r="I194" s="517"/>
    </row>
    <row r="195" spans="9:9">
      <c r="I195" s="517"/>
    </row>
    <row r="196" spans="9:9">
      <c r="I196" s="517"/>
    </row>
    <row r="197" spans="9:9">
      <c r="I197" s="517"/>
    </row>
    <row r="198" spans="9:9">
      <c r="I198" s="517"/>
    </row>
    <row r="199" spans="9:9">
      <c r="I199" s="517"/>
    </row>
    <row r="200" spans="9:9">
      <c r="I200" s="517"/>
    </row>
    <row r="201" spans="9:9">
      <c r="I201" s="517"/>
    </row>
    <row r="202" spans="9:9">
      <c r="I202" s="517"/>
    </row>
    <row r="203" spans="9:9">
      <c r="I203" s="517"/>
    </row>
    <row r="204" spans="9:9">
      <c r="I204" s="517"/>
    </row>
    <row r="205" spans="9:9">
      <c r="I205" s="517"/>
    </row>
    <row r="206" spans="9:9">
      <c r="I206" s="517"/>
    </row>
    <row r="207" spans="9:9">
      <c r="I207" s="517"/>
    </row>
    <row r="208" spans="9:9">
      <c r="I208" s="517"/>
    </row>
    <row r="209" spans="9:9">
      <c r="I209" s="517"/>
    </row>
    <row r="210" spans="9:9">
      <c r="I210" s="517"/>
    </row>
    <row r="211" spans="9:9">
      <c r="I211" s="517"/>
    </row>
    <row r="212" spans="9:9">
      <c r="I212" s="517"/>
    </row>
    <row r="213" spans="9:9">
      <c r="I213" s="517"/>
    </row>
    <row r="214" spans="9:9">
      <c r="I214" s="517"/>
    </row>
    <row r="215" spans="9:9">
      <c r="I215" s="517"/>
    </row>
    <row r="216" spans="9:9">
      <c r="I216" s="517"/>
    </row>
    <row r="217" spans="9:9">
      <c r="I217" s="517"/>
    </row>
    <row r="218" spans="9:9">
      <c r="I218" s="517"/>
    </row>
    <row r="219" spans="9:9">
      <c r="I219" s="517"/>
    </row>
    <row r="220" spans="9:9">
      <c r="I220" s="517"/>
    </row>
    <row r="221" spans="9:9">
      <c r="I221" s="517"/>
    </row>
    <row r="222" spans="9:9">
      <c r="I222" s="517"/>
    </row>
    <row r="223" spans="9:9">
      <c r="I223" s="517"/>
    </row>
    <row r="224" spans="9:9">
      <c r="I224" s="517"/>
    </row>
    <row r="225" spans="9:9">
      <c r="I225" s="517"/>
    </row>
    <row r="226" spans="9:9">
      <c r="I226" s="517"/>
    </row>
    <row r="227" spans="9:9">
      <c r="I227" s="517"/>
    </row>
    <row r="228" spans="9:9">
      <c r="I228" s="517"/>
    </row>
    <row r="229" spans="9:9">
      <c r="I229" s="517"/>
    </row>
    <row r="230" spans="9:9">
      <c r="I230" s="517"/>
    </row>
    <row r="231" spans="9:9">
      <c r="I231" s="517"/>
    </row>
    <row r="232" spans="9:9">
      <c r="I232" s="517"/>
    </row>
    <row r="233" spans="9:9">
      <c r="I233" s="517"/>
    </row>
    <row r="234" spans="9:9">
      <c r="I234" s="517"/>
    </row>
    <row r="235" spans="9:9">
      <c r="I235" s="517"/>
    </row>
    <row r="236" spans="9:9">
      <c r="I236" s="517"/>
    </row>
    <row r="237" spans="9:9">
      <c r="I237" s="517"/>
    </row>
    <row r="238" spans="9:9">
      <c r="I238" s="517"/>
    </row>
    <row r="239" spans="9:9">
      <c r="I239" s="517"/>
    </row>
    <row r="240" spans="9:9">
      <c r="I240" s="517"/>
    </row>
    <row r="241" spans="9:9">
      <c r="I241" s="517"/>
    </row>
    <row r="242" spans="9:9">
      <c r="I242" s="517"/>
    </row>
    <row r="243" spans="9:9">
      <c r="I243" s="517"/>
    </row>
    <row r="244" spans="9:9">
      <c r="I244" s="517"/>
    </row>
    <row r="245" spans="9:9">
      <c r="I245" s="517"/>
    </row>
    <row r="246" spans="9:9">
      <c r="I246" s="517"/>
    </row>
    <row r="247" spans="9:9">
      <c r="I247" s="517"/>
    </row>
    <row r="248" spans="9:9">
      <c r="I248" s="517"/>
    </row>
    <row r="249" spans="9:9">
      <c r="I249" s="517"/>
    </row>
    <row r="250" spans="9:9">
      <c r="I250" s="517"/>
    </row>
    <row r="251" spans="9:9">
      <c r="I251" s="517"/>
    </row>
    <row r="252" spans="9:9">
      <c r="I252" s="517"/>
    </row>
    <row r="253" spans="9:9">
      <c r="I253" s="517"/>
    </row>
    <row r="254" spans="9:9">
      <c r="I254" s="517"/>
    </row>
    <row r="255" spans="9:9">
      <c r="I255" s="517"/>
    </row>
    <row r="256" spans="9:9">
      <c r="I256" s="517"/>
    </row>
    <row r="257" spans="9:9">
      <c r="I257" s="517"/>
    </row>
    <row r="258" spans="9:9">
      <c r="I258" s="517"/>
    </row>
    <row r="259" spans="9:9">
      <c r="I259" s="517"/>
    </row>
    <row r="260" spans="9:9">
      <c r="I260" s="517"/>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4" customWidth="1"/>
    <col min="2" max="2" width="26" style="124" customWidth="1"/>
    <col min="3" max="3" width="27.54296875" style="124" customWidth="1"/>
    <col min="4" max="4" width="18.81640625" style="124" customWidth="1"/>
    <col min="5" max="5" width="18.54296875" style="124" customWidth="1"/>
    <col min="6" max="6" width="19.54296875" style="124" customWidth="1"/>
    <col min="7" max="9" width="19" style="124" customWidth="1"/>
    <col min="10" max="10" width="15.453125" style="124" customWidth="1"/>
    <col min="11" max="11" width="1.1796875" style="124" customWidth="1"/>
    <col min="12" max="12" width="3.1796875" style="124" customWidth="1"/>
    <col min="13" max="13" width="18.81640625" style="124" customWidth="1"/>
    <col min="14" max="14" width="18.54296875" style="124" customWidth="1"/>
    <col min="15" max="15" width="19.54296875" style="124" customWidth="1"/>
    <col min="16" max="18" width="19" style="124" customWidth="1"/>
    <col min="19" max="16384" width="9.1796875" style="124"/>
  </cols>
  <sheetData>
    <row r="1" spans="1:18" ht="6" customHeight="1">
      <c r="A1" s="180"/>
      <c r="B1" s="47"/>
      <c r="C1" s="47"/>
      <c r="D1" s="47"/>
      <c r="E1" s="47"/>
      <c r="F1" s="47"/>
      <c r="G1" s="47"/>
      <c r="H1" s="47"/>
      <c r="I1" s="47"/>
      <c r="J1" s="47"/>
      <c r="K1" s="181"/>
      <c r="M1" s="19"/>
      <c r="N1" s="19"/>
      <c r="O1" s="19"/>
      <c r="P1" s="19"/>
      <c r="Q1" s="19"/>
      <c r="R1" s="19"/>
    </row>
    <row r="2" spans="1:18" s="105" customFormat="1" ht="18">
      <c r="A2" s="133"/>
      <c r="B2" s="134" t="str">
        <f>'Cover Sheet'!B2</f>
        <v>SC Germany Consumer 2023-1</v>
      </c>
      <c r="C2" s="134"/>
      <c r="D2" s="135" t="str">
        <f>'Cover Sheet'!D2</f>
        <v>Calculation Date</v>
      </c>
      <c r="E2" s="136"/>
      <c r="F2" s="137">
        <f>'Cover Sheet'!F2</f>
        <v>45973</v>
      </c>
      <c r="G2" s="136"/>
      <c r="H2" s="136"/>
      <c r="I2" s="136"/>
      <c r="J2" s="138"/>
      <c r="K2" s="383"/>
      <c r="M2" s="115"/>
      <c r="N2" s="19"/>
      <c r="O2" s="497"/>
      <c r="P2" s="19"/>
      <c r="Q2" s="19"/>
      <c r="R2" s="19"/>
    </row>
    <row r="3" spans="1:18" s="105" customFormat="1" ht="18">
      <c r="A3" s="133"/>
      <c r="B3" s="134" t="str">
        <f>'Cover Sheet'!B3</f>
        <v>Monthly Investor Report</v>
      </c>
      <c r="C3" s="134"/>
      <c r="D3" s="141" t="str">
        <f>'Cover Sheet'!D3</f>
        <v>Payment Date</v>
      </c>
      <c r="E3" s="142"/>
      <c r="F3" s="143">
        <f>'Cover Sheet'!F3</f>
        <v>45975</v>
      </c>
      <c r="G3" s="142"/>
      <c r="H3" s="142"/>
      <c r="I3" s="142"/>
      <c r="J3" s="144"/>
      <c r="K3" s="154"/>
      <c r="M3" s="115"/>
      <c r="N3" s="19"/>
      <c r="O3" s="497"/>
      <c r="P3" s="19"/>
      <c r="Q3" s="19"/>
      <c r="R3" s="19"/>
    </row>
    <row r="4" spans="1:18" s="105" customFormat="1" ht="13">
      <c r="A4" s="133"/>
      <c r="B4" s="184"/>
      <c r="C4" s="185"/>
      <c r="D4" s="141" t="str">
        <f>'Cover Sheet'!D4</f>
        <v>Period  No</v>
      </c>
      <c r="E4" s="142"/>
      <c r="F4" s="146">
        <f>'Cover Sheet'!F4</f>
        <v>27</v>
      </c>
      <c r="G4" s="142"/>
      <c r="H4" s="147"/>
      <c r="I4" s="142"/>
      <c r="J4" s="148"/>
      <c r="K4" s="383"/>
      <c r="M4" s="115"/>
      <c r="N4" s="19"/>
      <c r="O4" s="498"/>
      <c r="P4" s="19"/>
      <c r="Q4" s="115"/>
      <c r="R4" s="19"/>
    </row>
    <row r="5" spans="1:18" s="105" customFormat="1" ht="18">
      <c r="A5" s="133"/>
      <c r="B5" s="187" t="s">
        <v>154</v>
      </c>
      <c r="C5" s="149"/>
      <c r="D5" s="141" t="str">
        <f>'Cover Sheet'!D5</f>
        <v>Monthly Period</v>
      </c>
      <c r="E5" s="142"/>
      <c r="F5" s="150">
        <f>'Cover Sheet'!F5</f>
        <v>45975</v>
      </c>
      <c r="G5" s="142"/>
      <c r="H5" s="147"/>
      <c r="I5" s="142"/>
      <c r="J5" s="148"/>
      <c r="K5" s="154"/>
      <c r="M5" s="115"/>
      <c r="N5" s="19"/>
      <c r="O5" s="499"/>
      <c r="P5" s="19"/>
      <c r="Q5" s="115"/>
      <c r="R5" s="19"/>
    </row>
    <row r="6" spans="1:18"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15"/>
      <c r="N6" s="256"/>
      <c r="O6" s="497"/>
      <c r="P6" s="19"/>
      <c r="Q6" s="497"/>
      <c r="R6" s="19"/>
    </row>
    <row r="7" spans="1:18"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c r="M7" s="115"/>
      <c r="N7" s="19"/>
      <c r="O7" s="500"/>
      <c r="P7" s="256"/>
      <c r="Q7" s="497"/>
      <c r="R7" s="256"/>
    </row>
    <row r="8" spans="1:18" s="105" customFormat="1" ht="13">
      <c r="A8" s="133"/>
      <c r="B8" s="123"/>
      <c r="C8" s="123"/>
      <c r="D8" s="123"/>
      <c r="E8" s="163"/>
      <c r="F8" s="162"/>
      <c r="G8" s="163"/>
      <c r="H8" s="123"/>
      <c r="I8" s="163"/>
      <c r="J8" s="123"/>
      <c r="K8" s="154"/>
      <c r="M8" s="19"/>
      <c r="N8" s="501"/>
      <c r="O8" s="256"/>
      <c r="P8" s="501"/>
      <c r="Q8" s="19"/>
      <c r="R8" s="501"/>
    </row>
    <row r="9" spans="1:18" s="105" customFormat="1">
      <c r="A9" s="133"/>
      <c r="K9" s="139"/>
      <c r="M9" s="19"/>
      <c r="N9" s="19"/>
      <c r="O9" s="19"/>
      <c r="P9" s="19"/>
      <c r="Q9" s="19"/>
      <c r="R9" s="19"/>
    </row>
    <row r="10" spans="1:18" s="105" customFormat="1">
      <c r="A10" s="133"/>
      <c r="B10" s="123"/>
      <c r="C10" s="123"/>
      <c r="D10" s="19"/>
      <c r="E10" s="123"/>
      <c r="F10" s="129"/>
      <c r="G10" s="123"/>
      <c r="H10" s="123"/>
      <c r="I10" s="123"/>
      <c r="J10" s="19"/>
      <c r="K10" s="139"/>
      <c r="M10" s="19"/>
      <c r="N10" s="123"/>
      <c r="O10" s="129"/>
      <c r="P10" s="123"/>
      <c r="Q10" s="123"/>
      <c r="R10" s="123"/>
    </row>
    <row r="11" spans="1:18" s="105" customFormat="1" ht="17.5">
      <c r="A11" s="133"/>
      <c r="B11" s="195"/>
      <c r="C11" s="123"/>
      <c r="D11" s="19"/>
      <c r="E11" s="123"/>
      <c r="F11" s="19"/>
      <c r="G11" s="385"/>
      <c r="H11" s="385"/>
      <c r="I11" s="385"/>
      <c r="K11" s="139"/>
      <c r="M11" s="19"/>
      <c r="N11" s="123"/>
      <c r="O11" s="19"/>
      <c r="P11" s="385"/>
      <c r="Q11" s="385"/>
      <c r="R11" s="385"/>
    </row>
    <row r="12" spans="1:18" s="105" customFormat="1" ht="13" thickBot="1">
      <c r="A12" s="133"/>
      <c r="B12" s="123"/>
      <c r="C12" s="19"/>
      <c r="D12" s="19"/>
      <c r="E12" s="19"/>
      <c r="F12" s="19"/>
      <c r="G12" s="386"/>
      <c r="H12" s="386"/>
      <c r="I12" s="386"/>
      <c r="J12" s="19"/>
      <c r="K12" s="139"/>
      <c r="M12" s="19"/>
      <c r="N12" s="19"/>
      <c r="O12" s="19"/>
      <c r="P12" s="386"/>
      <c r="Q12" s="386"/>
      <c r="R12" s="386"/>
    </row>
    <row r="13" spans="1:18" s="105" customFormat="1" ht="29.5" thickBot="1">
      <c r="A13" s="133"/>
      <c r="B13" s="198"/>
      <c r="C13" s="502" t="s">
        <v>101</v>
      </c>
      <c r="D13" s="503" t="s">
        <v>72</v>
      </c>
      <c r="E13" s="503" t="s">
        <v>114</v>
      </c>
      <c r="F13" s="503" t="s">
        <v>62</v>
      </c>
      <c r="G13" s="503" t="s">
        <v>115</v>
      </c>
      <c r="H13" s="503" t="s">
        <v>102</v>
      </c>
      <c r="I13" s="504" t="s">
        <v>116</v>
      </c>
      <c r="J13" s="19"/>
      <c r="K13" s="139"/>
      <c r="M13" s="505"/>
      <c r="N13" s="506"/>
      <c r="O13" s="506"/>
      <c r="P13" s="506"/>
      <c r="Q13" s="506"/>
      <c r="R13" s="506"/>
    </row>
    <row r="14" spans="1:18">
      <c r="A14" s="206"/>
      <c r="B14" s="13"/>
      <c r="C14" s="507" t="s">
        <v>700</v>
      </c>
      <c r="D14" s="58">
        <f t="shared" ref="D14:D20" si="0">VLOOKUP(CONCATENATE("loanconc_",C14),Assets_Daten,3,0)</f>
        <v>486146546.86999536</v>
      </c>
      <c r="E14" s="59">
        <f>D14/$D$21</f>
        <v>0.9868128359329188</v>
      </c>
      <c r="F14" s="508">
        <f>H14*1</f>
        <v>35005</v>
      </c>
      <c r="G14" s="60">
        <f>F14/$F$21</f>
        <v>0.98066956156324414</v>
      </c>
      <c r="H14" s="508">
        <f t="shared" ref="H14:H20" si="1">VLOOKUP(CONCATENATE("loanconc_",C14),Assets_Daten,2,0)</f>
        <v>35005</v>
      </c>
      <c r="I14" s="61">
        <f>H14/$H$21</f>
        <v>0.99032449712846915</v>
      </c>
      <c r="J14" s="19"/>
      <c r="K14" s="200"/>
      <c r="M14" s="123"/>
      <c r="N14" s="509"/>
      <c r="O14" s="510"/>
      <c r="P14" s="393"/>
      <c r="Q14" s="123"/>
      <c r="R14" s="393"/>
    </row>
    <row r="15" spans="1:18">
      <c r="A15" s="206"/>
      <c r="B15" s="13"/>
      <c r="C15" s="507" t="s">
        <v>701</v>
      </c>
      <c r="D15" s="62">
        <f t="shared" si="0"/>
        <v>6411111.0400000075</v>
      </c>
      <c r="E15" s="63">
        <f t="shared" ref="E15:E20" si="2">D15/$D$21</f>
        <v>1.3013702776654904E-2</v>
      </c>
      <c r="F15" s="511">
        <f>H15*2</f>
        <v>672</v>
      </c>
      <c r="G15" s="64">
        <f t="shared" ref="G15:G20" si="3">F15/$F$21</f>
        <v>1.8826166129710043E-2</v>
      </c>
      <c r="H15" s="511">
        <f t="shared" si="1"/>
        <v>336</v>
      </c>
      <c r="I15" s="65">
        <f t="shared" ref="I15:I20" si="4">H15/$H$21</f>
        <v>9.5057572071180017E-3</v>
      </c>
      <c r="J15" s="19"/>
      <c r="K15" s="200"/>
      <c r="M15" s="123"/>
      <c r="N15" s="509"/>
      <c r="O15" s="510"/>
      <c r="P15" s="393"/>
      <c r="Q15" s="123"/>
      <c r="R15" s="393"/>
    </row>
    <row r="16" spans="1:18">
      <c r="A16" s="206"/>
      <c r="B16" s="13"/>
      <c r="C16" s="507" t="s">
        <v>702</v>
      </c>
      <c r="D16" s="62">
        <f t="shared" si="0"/>
        <v>85454.510000000009</v>
      </c>
      <c r="E16" s="63">
        <f t="shared" si="2"/>
        <v>1.7346129042629762E-4</v>
      </c>
      <c r="F16" s="511">
        <f>H16*3</f>
        <v>18</v>
      </c>
      <c r="G16" s="64">
        <f t="shared" si="3"/>
        <v>5.0427230704580474E-4</v>
      </c>
      <c r="H16" s="511">
        <f t="shared" si="1"/>
        <v>6</v>
      </c>
      <c r="I16" s="65">
        <f t="shared" si="4"/>
        <v>1.6974566441282145E-4</v>
      </c>
      <c r="J16" s="19"/>
      <c r="K16" s="200"/>
      <c r="M16" s="123"/>
      <c r="N16" s="509"/>
      <c r="O16" s="510"/>
      <c r="P16" s="393"/>
      <c r="Q16" s="123"/>
      <c r="R16" s="393"/>
    </row>
    <row r="17" spans="1:18">
      <c r="A17" s="206"/>
      <c r="B17" s="13"/>
      <c r="C17" s="507" t="s">
        <v>703</v>
      </c>
      <c r="D17" s="62">
        <f t="shared" si="0"/>
        <v>0</v>
      </c>
      <c r="E17" s="63">
        <f t="shared" si="2"/>
        <v>0</v>
      </c>
      <c r="F17" s="511">
        <f>H17*4</f>
        <v>0</v>
      </c>
      <c r="G17" s="64">
        <f t="shared" si="3"/>
        <v>0</v>
      </c>
      <c r="H17" s="511">
        <f t="shared" si="1"/>
        <v>0</v>
      </c>
      <c r="I17" s="65">
        <f t="shared" si="4"/>
        <v>0</v>
      </c>
      <c r="J17" s="19"/>
      <c r="K17" s="200"/>
      <c r="M17" s="123"/>
      <c r="N17" s="509"/>
      <c r="O17" s="510"/>
      <c r="P17" s="393"/>
      <c r="Q17" s="123"/>
      <c r="R17" s="393"/>
    </row>
    <row r="18" spans="1:18">
      <c r="A18" s="206"/>
      <c r="B18" s="13"/>
      <c r="C18" s="507" t="s">
        <v>704</v>
      </c>
      <c r="D18" s="62">
        <f t="shared" si="0"/>
        <v>0</v>
      </c>
      <c r="E18" s="63">
        <f t="shared" si="2"/>
        <v>0</v>
      </c>
      <c r="F18" s="511">
        <f>H18*5</f>
        <v>0</v>
      </c>
      <c r="G18" s="64">
        <f t="shared" si="3"/>
        <v>0</v>
      </c>
      <c r="H18" s="511">
        <f t="shared" si="1"/>
        <v>0</v>
      </c>
      <c r="I18" s="65">
        <f t="shared" si="4"/>
        <v>0</v>
      </c>
      <c r="J18" s="19"/>
      <c r="K18" s="200"/>
      <c r="M18" s="123"/>
      <c r="N18" s="509"/>
      <c r="O18" s="510"/>
      <c r="P18" s="393"/>
      <c r="Q18" s="123"/>
      <c r="R18" s="393"/>
    </row>
    <row r="19" spans="1:18">
      <c r="A19" s="206"/>
      <c r="B19" s="13"/>
      <c r="C19" s="507" t="s">
        <v>705</v>
      </c>
      <c r="D19" s="62">
        <f t="shared" si="0"/>
        <v>0</v>
      </c>
      <c r="E19" s="63">
        <f t="shared" si="2"/>
        <v>0</v>
      </c>
      <c r="F19" s="511">
        <f>H19*6</f>
        <v>0</v>
      </c>
      <c r="G19" s="64">
        <f t="shared" si="3"/>
        <v>0</v>
      </c>
      <c r="H19" s="511">
        <f t="shared" si="1"/>
        <v>0</v>
      </c>
      <c r="I19" s="65">
        <f t="shared" si="4"/>
        <v>0</v>
      </c>
      <c r="J19" s="19"/>
      <c r="K19" s="200"/>
      <c r="M19" s="123"/>
      <c r="N19" s="509"/>
      <c r="O19" s="510"/>
      <c r="P19" s="393"/>
      <c r="Q19" s="123"/>
      <c r="R19" s="393"/>
    </row>
    <row r="20" spans="1:18" ht="13" thickBot="1">
      <c r="A20" s="206"/>
      <c r="B20" s="13"/>
      <c r="C20" s="507" t="s">
        <v>760</v>
      </c>
      <c r="D20" s="62">
        <f t="shared" si="0"/>
        <v>0</v>
      </c>
      <c r="E20" s="63">
        <f t="shared" si="2"/>
        <v>0</v>
      </c>
      <c r="F20" s="511">
        <f>H20*7</f>
        <v>0</v>
      </c>
      <c r="G20" s="64">
        <f t="shared" si="3"/>
        <v>0</v>
      </c>
      <c r="H20" s="511">
        <f t="shared" si="1"/>
        <v>0</v>
      </c>
      <c r="I20" s="65">
        <f t="shared" si="4"/>
        <v>0</v>
      </c>
      <c r="J20" s="19"/>
      <c r="K20" s="200"/>
      <c r="M20" s="123"/>
      <c r="N20" s="509"/>
      <c r="O20" s="510"/>
      <c r="P20" s="393"/>
      <c r="Q20" s="123"/>
      <c r="R20" s="393"/>
    </row>
    <row r="21" spans="1:18" ht="14" thickTop="1" thickBot="1">
      <c r="A21" s="206"/>
      <c r="B21" s="13"/>
      <c r="C21" s="512" t="s">
        <v>103</v>
      </c>
      <c r="D21" s="564">
        <f>SUM(D14:D20)</f>
        <v>492643112.41999537</v>
      </c>
      <c r="E21" s="930">
        <f t="shared" ref="E21:I21" si="5">SUM(E14:E20)</f>
        <v>1</v>
      </c>
      <c r="F21" s="566">
        <f t="shared" si="5"/>
        <v>35695</v>
      </c>
      <c r="G21" s="930">
        <f t="shared" si="5"/>
        <v>0.99999999999999989</v>
      </c>
      <c r="H21" s="566">
        <f t="shared" si="5"/>
        <v>35347</v>
      </c>
      <c r="I21" s="567">
        <f t="shared" si="5"/>
        <v>1</v>
      </c>
      <c r="J21" s="19"/>
      <c r="K21" s="200"/>
      <c r="M21" s="123"/>
      <c r="N21" s="509"/>
      <c r="O21" s="510"/>
      <c r="P21" s="393"/>
      <c r="Q21" s="123"/>
      <c r="R21" s="393"/>
    </row>
    <row r="22" spans="1:18" ht="13">
      <c r="A22" s="206"/>
      <c r="B22" s="13"/>
      <c r="C22" s="171"/>
      <c r="D22" s="513"/>
      <c r="E22" s="253"/>
      <c r="F22" s="514"/>
      <c r="G22" s="253"/>
      <c r="H22" s="514"/>
      <c r="I22" s="253"/>
      <c r="J22" s="19"/>
      <c r="K22" s="200"/>
      <c r="M22" s="123"/>
      <c r="N22" s="509"/>
      <c r="O22" s="510"/>
      <c r="P22" s="393"/>
      <c r="Q22" s="123"/>
      <c r="R22" s="393"/>
    </row>
    <row r="23" spans="1:18" ht="13">
      <c r="A23" s="206"/>
      <c r="B23" s="13"/>
      <c r="C23" s="171"/>
      <c r="D23" s="513"/>
      <c r="E23" s="253"/>
      <c r="F23" s="514"/>
      <c r="G23" s="253"/>
      <c r="H23" s="514"/>
      <c r="I23" s="253"/>
      <c r="J23" s="19"/>
      <c r="K23" s="200"/>
      <c r="M23" s="123"/>
      <c r="N23" s="509"/>
      <c r="O23" s="510"/>
      <c r="P23" s="393"/>
      <c r="Q23" s="123"/>
      <c r="R23" s="393"/>
    </row>
    <row r="24" spans="1:18" ht="13">
      <c r="A24" s="206"/>
      <c r="B24" s="13"/>
      <c r="C24" s="171"/>
      <c r="D24" s="513"/>
      <c r="E24" s="253"/>
      <c r="F24" s="514"/>
      <c r="G24" s="253"/>
      <c r="H24" s="514"/>
      <c r="I24" s="253"/>
      <c r="J24" s="19"/>
      <c r="K24" s="200"/>
      <c r="M24" s="123"/>
      <c r="N24" s="509"/>
      <c r="O24" s="510"/>
      <c r="P24" s="393"/>
      <c r="Q24" s="123"/>
      <c r="R24" s="393"/>
    </row>
    <row r="25" spans="1:18" ht="13">
      <c r="A25" s="206"/>
      <c r="B25" s="13"/>
      <c r="C25" s="171"/>
      <c r="D25" s="513"/>
      <c r="E25" s="253"/>
      <c r="F25" s="514"/>
      <c r="G25" s="253"/>
      <c r="H25" s="514"/>
      <c r="I25" s="253"/>
      <c r="J25" s="19"/>
      <c r="K25" s="200"/>
      <c r="M25" s="123"/>
      <c r="N25" s="509"/>
      <c r="O25" s="510"/>
      <c r="P25" s="393"/>
      <c r="Q25" s="123"/>
      <c r="R25" s="393"/>
    </row>
    <row r="26" spans="1:18" ht="13">
      <c r="A26" s="206"/>
      <c r="B26" s="13"/>
      <c r="C26" s="171"/>
      <c r="D26" s="513"/>
      <c r="E26" s="253"/>
      <c r="F26" s="514"/>
      <c r="G26" s="253"/>
      <c r="H26" s="514"/>
      <c r="I26" s="253"/>
      <c r="J26" s="19"/>
      <c r="K26" s="200"/>
      <c r="M26" s="123"/>
      <c r="N26" s="509"/>
      <c r="O26" s="510"/>
      <c r="P26" s="393"/>
      <c r="Q26" s="123"/>
      <c r="R26" s="393"/>
    </row>
    <row r="27" spans="1:18" ht="13">
      <c r="A27" s="206"/>
      <c r="B27" s="13"/>
      <c r="C27" s="171"/>
      <c r="D27" s="513"/>
      <c r="E27" s="253"/>
      <c r="F27" s="514"/>
      <c r="G27" s="253"/>
      <c r="H27" s="514"/>
      <c r="I27" s="253"/>
      <c r="J27" s="19"/>
      <c r="K27" s="200"/>
      <c r="M27" s="123"/>
      <c r="N27" s="509"/>
      <c r="O27" s="510"/>
      <c r="P27" s="393"/>
      <c r="Q27" s="123"/>
      <c r="R27" s="393"/>
    </row>
    <row r="28" spans="1:18" ht="13">
      <c r="A28" s="206"/>
      <c r="B28" s="13"/>
      <c r="C28" s="171"/>
      <c r="D28" s="513"/>
      <c r="E28" s="253"/>
      <c r="F28" s="514"/>
      <c r="G28" s="253"/>
      <c r="H28" s="514"/>
      <c r="I28" s="253"/>
      <c r="J28" s="19"/>
      <c r="K28" s="200"/>
      <c r="M28" s="123"/>
      <c r="N28" s="509"/>
      <c r="O28" s="510"/>
      <c r="P28" s="393"/>
      <c r="Q28" s="123"/>
      <c r="R28" s="393"/>
    </row>
    <row r="29" spans="1:18" ht="13">
      <c r="A29" s="206"/>
      <c r="B29" s="13"/>
      <c r="C29" s="171"/>
      <c r="D29" s="513"/>
      <c r="E29" s="253"/>
      <c r="F29" s="514"/>
      <c r="G29" s="253"/>
      <c r="H29" s="514"/>
      <c r="I29" s="253"/>
      <c r="J29" s="19"/>
      <c r="K29" s="200"/>
      <c r="M29" s="123"/>
      <c r="N29" s="509"/>
      <c r="O29" s="510"/>
      <c r="P29" s="393"/>
      <c r="Q29" s="123"/>
      <c r="R29" s="393"/>
    </row>
    <row r="30" spans="1:18">
      <c r="A30" s="206"/>
      <c r="B30" s="13"/>
      <c r="C30" s="12"/>
      <c r="D30" s="19"/>
      <c r="E30" s="19"/>
      <c r="F30" s="19"/>
      <c r="G30" s="19"/>
      <c r="H30" s="19"/>
      <c r="I30" s="19"/>
      <c r="J30" s="19"/>
      <c r="K30" s="200"/>
      <c r="M30" s="19"/>
      <c r="N30" s="19"/>
      <c r="O30" s="19"/>
      <c r="P30" s="19"/>
      <c r="Q30" s="19"/>
      <c r="R30" s="19"/>
    </row>
    <row r="31" spans="1:18">
      <c r="A31" s="206"/>
      <c r="B31" s="13"/>
      <c r="C31" s="12"/>
      <c r="D31" s="19"/>
      <c r="E31" s="19"/>
      <c r="F31" s="19"/>
      <c r="G31" s="19"/>
      <c r="H31" s="19"/>
      <c r="I31" s="19"/>
      <c r="J31" s="19"/>
      <c r="K31" s="200"/>
      <c r="M31" s="19"/>
      <c r="N31" s="19"/>
      <c r="O31" s="19"/>
      <c r="P31" s="19"/>
      <c r="Q31" s="19"/>
      <c r="R31" s="19"/>
    </row>
    <row r="32" spans="1:18">
      <c r="A32" s="206"/>
      <c r="B32" s="13"/>
      <c r="C32" s="12"/>
      <c r="D32" s="19"/>
      <c r="E32" s="19"/>
      <c r="F32" s="19"/>
      <c r="G32" s="19"/>
      <c r="H32" s="19"/>
      <c r="I32" s="19"/>
      <c r="J32" s="19"/>
      <c r="K32" s="200"/>
      <c r="M32" s="19"/>
      <c r="N32" s="19"/>
      <c r="O32" s="19"/>
      <c r="P32" s="19"/>
      <c r="Q32" s="19"/>
      <c r="R32" s="19"/>
    </row>
    <row r="33" spans="1:18">
      <c r="A33" s="206"/>
      <c r="B33" s="13"/>
      <c r="C33" s="12"/>
      <c r="D33" s="19"/>
      <c r="E33" s="19"/>
      <c r="F33" s="19"/>
      <c r="G33" s="19"/>
      <c r="H33" s="19"/>
      <c r="I33" s="19"/>
      <c r="J33" s="19"/>
      <c r="K33" s="200"/>
      <c r="M33" s="19"/>
      <c r="N33" s="19"/>
      <c r="O33" s="19"/>
      <c r="P33" s="19"/>
      <c r="Q33" s="19"/>
      <c r="R33" s="19"/>
    </row>
    <row r="34" spans="1:18">
      <c r="A34" s="206"/>
      <c r="B34" s="13"/>
      <c r="C34" s="12"/>
      <c r="D34" s="19"/>
      <c r="E34" s="19"/>
      <c r="F34" s="19"/>
      <c r="G34" s="19"/>
      <c r="H34" s="19"/>
      <c r="I34" s="19"/>
      <c r="J34" s="19"/>
      <c r="K34" s="200"/>
      <c r="M34" s="19"/>
      <c r="N34" s="19"/>
      <c r="O34" s="19"/>
      <c r="P34" s="19"/>
      <c r="Q34" s="19"/>
      <c r="R34" s="19"/>
    </row>
    <row r="35" spans="1:18">
      <c r="A35" s="206"/>
      <c r="B35" s="13"/>
      <c r="C35" s="12"/>
      <c r="D35" s="19"/>
      <c r="E35" s="19"/>
      <c r="F35" s="19"/>
      <c r="G35" s="19"/>
      <c r="H35" s="19"/>
      <c r="I35" s="19"/>
      <c r="J35" s="19"/>
      <c r="K35" s="200"/>
      <c r="M35" s="19"/>
      <c r="N35" s="19"/>
      <c r="O35" s="19"/>
      <c r="P35" s="19"/>
      <c r="Q35" s="19"/>
      <c r="R35" s="19"/>
    </row>
    <row r="36" spans="1:18">
      <c r="A36" s="206"/>
      <c r="B36" s="13"/>
      <c r="C36" s="12"/>
      <c r="D36" s="19"/>
      <c r="E36" s="19"/>
      <c r="F36" s="19"/>
      <c r="G36" s="19"/>
      <c r="H36" s="19"/>
      <c r="I36" s="19"/>
      <c r="J36" s="19"/>
      <c r="K36" s="200"/>
      <c r="M36" s="19"/>
      <c r="N36" s="19"/>
      <c r="O36" s="19"/>
      <c r="P36" s="19"/>
      <c r="Q36" s="19"/>
      <c r="R36" s="19"/>
    </row>
    <row r="37" spans="1:18">
      <c r="A37" s="206"/>
      <c r="B37" s="13"/>
      <c r="C37" s="12"/>
      <c r="D37" s="19"/>
      <c r="E37" s="19"/>
      <c r="F37" s="19"/>
      <c r="G37" s="19"/>
      <c r="H37" s="19"/>
      <c r="I37" s="19"/>
      <c r="J37" s="19"/>
      <c r="K37" s="200"/>
      <c r="M37" s="19"/>
      <c r="N37" s="19"/>
      <c r="O37" s="19"/>
      <c r="P37" s="19"/>
      <c r="Q37" s="19"/>
      <c r="R37" s="19"/>
    </row>
    <row r="38" spans="1:18">
      <c r="A38" s="206"/>
      <c r="B38" s="13"/>
      <c r="C38" s="12"/>
      <c r="D38" s="19"/>
      <c r="E38" s="19"/>
      <c r="F38" s="19"/>
      <c r="G38" s="19"/>
      <c r="H38" s="19"/>
      <c r="I38" s="19"/>
      <c r="J38" s="19"/>
      <c r="K38" s="200"/>
      <c r="M38" s="19"/>
      <c r="N38" s="19"/>
      <c r="O38" s="19"/>
      <c r="P38" s="19"/>
      <c r="Q38" s="19"/>
      <c r="R38" s="19"/>
    </row>
    <row r="39" spans="1:18">
      <c r="A39" s="206"/>
      <c r="B39" s="13"/>
      <c r="C39" s="12"/>
      <c r="D39" s="19"/>
      <c r="E39" s="19"/>
      <c r="F39" s="19"/>
      <c r="G39" s="19"/>
      <c r="H39" s="19"/>
      <c r="I39" s="19"/>
      <c r="J39" s="19"/>
      <c r="K39" s="200"/>
      <c r="M39" s="19"/>
      <c r="N39" s="19"/>
      <c r="O39" s="19"/>
      <c r="P39" s="19"/>
      <c r="Q39" s="19"/>
      <c r="R39" s="19"/>
    </row>
    <row r="40" spans="1:18">
      <c r="A40" s="206"/>
      <c r="B40" s="13"/>
      <c r="C40" s="12"/>
      <c r="D40" s="19"/>
      <c r="E40" s="19"/>
      <c r="F40" s="19"/>
      <c r="G40" s="19"/>
      <c r="H40" s="19"/>
      <c r="I40" s="19"/>
      <c r="J40" s="19"/>
      <c r="K40" s="200"/>
      <c r="M40" s="19"/>
      <c r="N40" s="19"/>
      <c r="O40" s="19"/>
      <c r="P40" s="19"/>
      <c r="Q40" s="19"/>
      <c r="R40" s="19"/>
    </row>
    <row r="41" spans="1:18">
      <c r="A41" s="206"/>
      <c r="B41" s="13"/>
      <c r="C41" s="12"/>
      <c r="D41" s="19"/>
      <c r="E41" s="19"/>
      <c r="F41" s="19"/>
      <c r="G41" s="19"/>
      <c r="H41" s="19"/>
      <c r="I41" s="19"/>
      <c r="J41" s="19"/>
      <c r="K41" s="200"/>
      <c r="M41" s="19"/>
      <c r="N41" s="19"/>
      <c r="O41" s="19"/>
      <c r="P41" s="19"/>
      <c r="Q41" s="19"/>
      <c r="R41" s="19"/>
    </row>
    <row r="42" spans="1:18">
      <c r="A42" s="206"/>
      <c r="B42" s="13"/>
      <c r="C42" s="12"/>
      <c r="D42" s="19"/>
      <c r="E42" s="19"/>
      <c r="F42" s="19"/>
      <c r="G42" s="19"/>
      <c r="H42" s="19"/>
      <c r="I42" s="19"/>
      <c r="J42" s="19"/>
      <c r="K42" s="200"/>
      <c r="M42" s="19"/>
      <c r="N42" s="19"/>
      <c r="O42" s="19"/>
      <c r="P42" s="19"/>
      <c r="Q42" s="19"/>
      <c r="R42" s="19"/>
    </row>
    <row r="43" spans="1:18">
      <c r="A43" s="206"/>
      <c r="B43" s="13"/>
      <c r="C43" s="12"/>
      <c r="D43" s="19"/>
      <c r="E43" s="19"/>
      <c r="F43" s="19"/>
      <c r="G43" s="19"/>
      <c r="H43" s="19"/>
      <c r="I43" s="19"/>
      <c r="J43" s="19"/>
      <c r="K43" s="200"/>
      <c r="M43" s="19"/>
      <c r="N43" s="19"/>
      <c r="O43" s="19"/>
      <c r="P43" s="19"/>
      <c r="Q43" s="19"/>
      <c r="R43" s="19"/>
    </row>
    <row r="44" spans="1:18">
      <c r="A44" s="206"/>
      <c r="B44" s="13"/>
      <c r="C44" s="12"/>
      <c r="D44" s="19"/>
      <c r="E44" s="19"/>
      <c r="F44" s="19"/>
      <c r="G44" s="19"/>
      <c r="H44" s="19"/>
      <c r="I44" s="19"/>
      <c r="J44" s="19"/>
      <c r="K44" s="200"/>
      <c r="M44" s="19"/>
      <c r="N44" s="19"/>
      <c r="O44" s="19"/>
      <c r="P44" s="19"/>
      <c r="Q44" s="19"/>
      <c r="R44" s="19"/>
    </row>
    <row r="45" spans="1:18">
      <c r="A45" s="206"/>
      <c r="B45" s="13"/>
      <c r="C45" s="12"/>
      <c r="D45" s="19"/>
      <c r="E45" s="19"/>
      <c r="F45" s="19"/>
      <c r="G45" s="19"/>
      <c r="H45" s="19"/>
      <c r="I45" s="19"/>
      <c r="J45" s="19"/>
      <c r="K45" s="200"/>
      <c r="M45" s="19"/>
      <c r="N45" s="19"/>
      <c r="O45" s="19"/>
      <c r="P45" s="19"/>
      <c r="Q45" s="19"/>
      <c r="R45" s="19"/>
    </row>
    <row r="46" spans="1:18">
      <c r="A46" s="221"/>
      <c r="B46" s="27"/>
      <c r="C46" s="10"/>
      <c r="D46" s="373"/>
      <c r="E46" s="10"/>
      <c r="F46" s="341"/>
      <c r="G46" s="374"/>
      <c r="H46" s="341"/>
      <c r="I46" s="374"/>
      <c r="J46" s="54"/>
      <c r="K46" s="222"/>
      <c r="M46" s="223"/>
      <c r="N46" s="12"/>
      <c r="O46" s="224"/>
      <c r="P46" s="225"/>
      <c r="Q46" s="224"/>
      <c r="R46" s="225"/>
    </row>
    <row r="47" spans="1:18">
      <c r="A47" s="47"/>
      <c r="B47" s="13"/>
      <c r="C47" s="12"/>
      <c r="D47" s="223"/>
      <c r="E47" s="12"/>
      <c r="F47" s="224"/>
      <c r="G47" s="225"/>
      <c r="H47" s="224"/>
      <c r="I47" s="225"/>
      <c r="J47" s="19"/>
      <c r="K47" s="19"/>
      <c r="L47" s="19"/>
      <c r="M47" s="223"/>
      <c r="N47" s="12"/>
      <c r="O47" s="224"/>
      <c r="P47" s="225"/>
      <c r="Q47" s="224"/>
      <c r="R47" s="225"/>
    </row>
    <row r="48" spans="1:18" s="19" customFormat="1">
      <c r="B48" s="13"/>
      <c r="C48" s="12"/>
      <c r="D48" s="223"/>
      <c r="E48" s="12"/>
      <c r="F48" s="224"/>
      <c r="G48" s="225"/>
      <c r="H48" s="224"/>
      <c r="I48" s="225"/>
      <c r="M48" s="223"/>
      <c r="N48" s="12"/>
      <c r="O48" s="224"/>
      <c r="P48" s="225"/>
      <c r="Q48" s="224"/>
      <c r="R48" s="225"/>
    </row>
    <row r="49" spans="2:18" s="19" customFormat="1">
      <c r="B49" s="13"/>
      <c r="C49" s="12"/>
      <c r="D49" s="223"/>
      <c r="E49" s="12"/>
      <c r="F49" s="224"/>
      <c r="G49" s="225"/>
      <c r="H49" s="224"/>
      <c r="I49" s="225"/>
      <c r="M49" s="223"/>
      <c r="N49" s="12"/>
      <c r="O49" s="224"/>
      <c r="P49" s="225"/>
      <c r="Q49" s="224"/>
      <c r="R49" s="225"/>
    </row>
    <row r="50" spans="2:18" s="123" customFormat="1" ht="15" customHeight="1">
      <c r="B50" s="13"/>
      <c r="C50" s="12"/>
      <c r="D50" s="223"/>
      <c r="E50" s="12"/>
      <c r="F50" s="224"/>
      <c r="G50" s="225"/>
      <c r="H50" s="224"/>
      <c r="I50" s="225"/>
      <c r="M50" s="223"/>
      <c r="N50" s="12"/>
      <c r="O50" s="224"/>
      <c r="P50" s="225"/>
      <c r="Q50" s="224"/>
      <c r="R50" s="225"/>
    </row>
    <row r="51" spans="2:18" s="123" customFormat="1">
      <c r="B51" s="13"/>
      <c r="C51" s="12"/>
      <c r="D51" s="223"/>
      <c r="E51" s="12"/>
      <c r="F51" s="224"/>
      <c r="G51" s="225"/>
      <c r="H51" s="224"/>
      <c r="I51" s="225"/>
      <c r="M51" s="223"/>
      <c r="N51" s="12"/>
      <c r="O51" s="224"/>
      <c r="P51" s="225"/>
      <c r="Q51" s="224"/>
      <c r="R51" s="225"/>
    </row>
    <row r="52" spans="2:18" s="19" customFormat="1">
      <c r="B52" s="13"/>
      <c r="C52" s="12"/>
      <c r="D52" s="223"/>
      <c r="E52" s="12"/>
      <c r="F52" s="224"/>
      <c r="G52" s="225"/>
      <c r="H52" s="224"/>
      <c r="I52" s="225"/>
      <c r="M52" s="223"/>
      <c r="N52" s="12"/>
      <c r="O52" s="224"/>
      <c r="P52" s="225"/>
      <c r="Q52" s="224"/>
      <c r="R52" s="225"/>
    </row>
    <row r="53" spans="2:18" s="19" customFormat="1">
      <c r="B53" s="13"/>
      <c r="C53" s="12"/>
      <c r="D53" s="223"/>
      <c r="E53" s="12"/>
      <c r="F53" s="224"/>
      <c r="G53" s="225"/>
      <c r="H53" s="224"/>
      <c r="I53" s="225"/>
      <c r="M53" s="223"/>
      <c r="N53" s="12"/>
      <c r="O53" s="224"/>
      <c r="P53" s="225"/>
      <c r="Q53" s="224"/>
      <c r="R53" s="225"/>
    </row>
    <row r="54" spans="2:18" s="19" customFormat="1">
      <c r="B54" s="13"/>
      <c r="C54" s="12"/>
      <c r="D54" s="223"/>
      <c r="E54" s="12"/>
      <c r="F54" s="224"/>
      <c r="G54" s="225"/>
      <c r="H54" s="224"/>
      <c r="I54" s="225"/>
      <c r="M54" s="223"/>
      <c r="N54" s="12"/>
      <c r="O54" s="224"/>
      <c r="P54" s="225"/>
      <c r="Q54" s="224"/>
      <c r="R54" s="225"/>
    </row>
    <row r="55" spans="2:18" s="19" customFormat="1">
      <c r="B55" s="13"/>
      <c r="C55" s="12"/>
      <c r="D55" s="223"/>
      <c r="E55" s="12"/>
      <c r="F55" s="224"/>
      <c r="G55" s="225"/>
      <c r="H55" s="224"/>
      <c r="I55" s="225"/>
      <c r="M55" s="223"/>
      <c r="N55" s="12"/>
      <c r="O55" s="224"/>
      <c r="P55" s="225"/>
      <c r="Q55" s="224"/>
      <c r="R55" s="225"/>
    </row>
    <row r="56" spans="2:18" s="19" customFormat="1">
      <c r="B56" s="13"/>
      <c r="C56" s="12"/>
      <c r="D56" s="223"/>
      <c r="E56" s="12"/>
      <c r="F56" s="224"/>
      <c r="G56" s="225"/>
      <c r="H56" s="224"/>
      <c r="I56" s="225"/>
      <c r="M56" s="223"/>
      <c r="N56" s="12"/>
      <c r="O56" s="224"/>
      <c r="P56" s="225"/>
      <c r="Q56" s="224"/>
      <c r="R56" s="225"/>
    </row>
    <row r="57" spans="2:18" s="19" customFormat="1">
      <c r="B57" s="13"/>
      <c r="C57" s="12"/>
      <c r="D57" s="223"/>
      <c r="E57" s="12"/>
      <c r="F57" s="224"/>
      <c r="G57" s="225"/>
      <c r="H57" s="224"/>
      <c r="I57" s="225"/>
      <c r="M57" s="223"/>
      <c r="N57" s="12"/>
      <c r="O57" s="224"/>
      <c r="P57" s="225"/>
      <c r="Q57" s="224"/>
      <c r="R57" s="225"/>
    </row>
    <row r="58" spans="2:18" s="19" customFormat="1">
      <c r="B58" s="13"/>
      <c r="C58" s="12"/>
      <c r="D58" s="223"/>
      <c r="E58" s="12"/>
      <c r="F58" s="224"/>
      <c r="G58" s="225"/>
      <c r="H58" s="224"/>
      <c r="I58" s="225"/>
      <c r="M58" s="223"/>
      <c r="N58" s="12"/>
      <c r="O58" s="224"/>
      <c r="P58" s="225"/>
      <c r="Q58" s="224"/>
      <c r="R58" s="225"/>
    </row>
    <row r="59" spans="2:18" s="19" customFormat="1">
      <c r="B59" s="13"/>
      <c r="C59" s="12"/>
      <c r="D59" s="223"/>
      <c r="E59" s="12"/>
      <c r="F59" s="224"/>
      <c r="G59" s="225"/>
      <c r="H59" s="224"/>
      <c r="I59" s="225"/>
      <c r="M59" s="223"/>
      <c r="N59" s="12"/>
      <c r="O59" s="224"/>
      <c r="P59" s="225"/>
      <c r="Q59" s="224"/>
      <c r="R59" s="225"/>
    </row>
    <row r="60" spans="2:18" s="19" customFormat="1">
      <c r="B60" s="13"/>
      <c r="C60" s="12"/>
      <c r="D60" s="223"/>
      <c r="E60" s="12"/>
      <c r="F60" s="224"/>
      <c r="G60" s="225"/>
      <c r="H60" s="224"/>
      <c r="I60" s="225"/>
      <c r="M60" s="223"/>
      <c r="N60" s="12"/>
      <c r="O60" s="224"/>
      <c r="P60" s="225"/>
      <c r="Q60" s="224"/>
      <c r="R60" s="225"/>
    </row>
    <row r="61" spans="2:18" s="19" customFormat="1">
      <c r="B61" s="13"/>
      <c r="C61" s="12"/>
      <c r="D61" s="223"/>
      <c r="E61" s="12"/>
      <c r="F61" s="224"/>
      <c r="G61" s="225"/>
      <c r="H61" s="224"/>
      <c r="I61" s="225"/>
      <c r="M61" s="223"/>
      <c r="N61" s="12"/>
      <c r="O61" s="224"/>
      <c r="P61" s="225"/>
      <c r="Q61" s="224"/>
      <c r="R61" s="225"/>
    </row>
    <row r="62" spans="2:18" s="19" customFormat="1">
      <c r="B62" s="13"/>
      <c r="C62" s="12"/>
      <c r="D62" s="223"/>
      <c r="E62" s="12"/>
      <c r="F62" s="224"/>
      <c r="G62" s="225"/>
      <c r="H62" s="224"/>
      <c r="I62" s="225"/>
      <c r="M62" s="223"/>
      <c r="N62" s="12"/>
      <c r="O62" s="224"/>
      <c r="P62" s="225"/>
      <c r="Q62" s="224"/>
      <c r="R62" s="225"/>
    </row>
    <row r="63" spans="2:18" s="19" customFormat="1">
      <c r="B63" s="13"/>
      <c r="C63" s="12"/>
      <c r="D63" s="223"/>
      <c r="E63" s="12"/>
      <c r="F63" s="224"/>
      <c r="G63" s="225"/>
      <c r="H63" s="224"/>
      <c r="I63" s="225"/>
      <c r="M63" s="223"/>
      <c r="N63" s="12"/>
      <c r="O63" s="224"/>
      <c r="P63" s="225"/>
      <c r="Q63" s="224"/>
      <c r="R63" s="225"/>
    </row>
    <row r="64" spans="2:18" s="19" customFormat="1">
      <c r="B64" s="13"/>
      <c r="C64" s="12"/>
      <c r="D64" s="223"/>
      <c r="E64" s="12"/>
      <c r="F64" s="224"/>
      <c r="G64" s="225"/>
      <c r="H64" s="224"/>
      <c r="I64" s="225"/>
      <c r="M64" s="223"/>
      <c r="N64" s="12"/>
      <c r="O64" s="224"/>
      <c r="P64" s="225"/>
      <c r="Q64" s="224"/>
      <c r="R64" s="225"/>
    </row>
    <row r="65" spans="2:18" s="19" customFormat="1">
      <c r="B65" s="13"/>
      <c r="C65" s="12"/>
      <c r="D65" s="223"/>
      <c r="E65" s="12"/>
      <c r="F65" s="224"/>
      <c r="G65" s="225"/>
      <c r="H65" s="224"/>
      <c r="I65" s="225"/>
      <c r="M65" s="223"/>
      <c r="N65" s="12"/>
      <c r="O65" s="224"/>
      <c r="P65" s="225"/>
      <c r="Q65" s="224"/>
      <c r="R65" s="225"/>
    </row>
    <row r="66" spans="2:18" s="19" customFormat="1">
      <c r="B66" s="13"/>
      <c r="C66" s="12"/>
      <c r="D66" s="223"/>
      <c r="E66" s="12"/>
      <c r="F66" s="224"/>
      <c r="G66" s="225"/>
      <c r="H66" s="224"/>
      <c r="I66" s="225"/>
      <c r="M66" s="223"/>
      <c r="N66" s="12"/>
      <c r="O66" s="224"/>
      <c r="P66" s="225"/>
      <c r="Q66" s="224"/>
      <c r="R66" s="225"/>
    </row>
    <row r="67" spans="2:18" s="19" customFormat="1">
      <c r="B67" s="13"/>
      <c r="C67" s="12"/>
      <c r="D67" s="223"/>
      <c r="E67" s="12"/>
      <c r="F67" s="224"/>
      <c r="G67" s="225"/>
      <c r="H67" s="224"/>
      <c r="I67" s="225"/>
      <c r="M67" s="223"/>
      <c r="N67" s="12"/>
      <c r="O67" s="224"/>
      <c r="P67" s="225"/>
      <c r="Q67" s="224"/>
      <c r="R67" s="225"/>
    </row>
    <row r="68" spans="2:18" s="19" customFormat="1">
      <c r="B68" s="13"/>
      <c r="C68" s="12"/>
      <c r="D68" s="223"/>
      <c r="E68" s="12"/>
      <c r="F68" s="224"/>
      <c r="G68" s="225"/>
      <c r="H68" s="224"/>
      <c r="I68" s="225"/>
      <c r="M68" s="223"/>
      <c r="N68" s="12"/>
      <c r="O68" s="224"/>
      <c r="P68" s="225"/>
      <c r="Q68" s="224"/>
      <c r="R68" s="225"/>
    </row>
    <row r="69" spans="2:18" s="19" customFormat="1">
      <c r="B69" s="13"/>
      <c r="C69" s="12"/>
      <c r="D69" s="223"/>
      <c r="E69" s="12"/>
      <c r="F69" s="224"/>
      <c r="G69" s="225"/>
      <c r="H69" s="224"/>
      <c r="I69" s="225"/>
      <c r="M69" s="223"/>
      <c r="N69" s="12"/>
      <c r="O69" s="224"/>
      <c r="P69" s="225"/>
      <c r="Q69" s="224"/>
      <c r="R69" s="225"/>
    </row>
    <row r="70" spans="2:18" s="19" customFormat="1">
      <c r="B70" s="13"/>
      <c r="C70" s="12"/>
      <c r="D70" s="223"/>
      <c r="E70" s="12"/>
      <c r="F70" s="224"/>
      <c r="G70" s="225"/>
      <c r="H70" s="224"/>
      <c r="I70" s="225"/>
      <c r="M70" s="223"/>
      <c r="N70" s="12"/>
      <c r="O70" s="224"/>
      <c r="P70" s="225"/>
      <c r="Q70" s="224"/>
      <c r="R70" s="225"/>
    </row>
    <row r="71" spans="2:18" s="19" customFormat="1">
      <c r="B71" s="13"/>
      <c r="C71" s="12"/>
      <c r="D71" s="223"/>
      <c r="E71" s="12"/>
      <c r="F71" s="224"/>
      <c r="G71" s="225"/>
      <c r="H71" s="224"/>
      <c r="I71" s="225"/>
      <c r="M71" s="223"/>
      <c r="N71" s="12"/>
      <c r="O71" s="224"/>
      <c r="P71" s="225"/>
      <c r="Q71" s="224"/>
      <c r="R71" s="225"/>
    </row>
    <row r="72" spans="2:18" s="19" customFormat="1">
      <c r="B72" s="13"/>
      <c r="C72" s="12"/>
      <c r="D72" s="223"/>
      <c r="E72" s="12"/>
      <c r="F72" s="224"/>
      <c r="G72" s="225"/>
      <c r="H72" s="224"/>
      <c r="I72" s="225"/>
      <c r="M72" s="223"/>
      <c r="N72" s="12"/>
      <c r="O72" s="224"/>
      <c r="P72" s="225"/>
      <c r="Q72" s="224"/>
      <c r="R72" s="225"/>
    </row>
    <row r="73" spans="2:18" s="19" customFormat="1">
      <c r="B73" s="13"/>
      <c r="C73" s="12"/>
      <c r="D73" s="223"/>
      <c r="E73" s="12"/>
      <c r="F73" s="224"/>
      <c r="G73" s="225"/>
      <c r="H73" s="224"/>
      <c r="I73" s="225"/>
      <c r="M73" s="223"/>
      <c r="N73" s="12"/>
      <c r="O73" s="224"/>
      <c r="P73" s="225"/>
      <c r="Q73" s="224"/>
      <c r="R73" s="225"/>
    </row>
    <row r="74" spans="2:18" s="19" customFormat="1">
      <c r="B74" s="13"/>
      <c r="C74" s="12"/>
      <c r="D74" s="223"/>
      <c r="E74" s="12"/>
      <c r="F74" s="224"/>
      <c r="G74" s="225"/>
      <c r="H74" s="224"/>
      <c r="I74" s="225"/>
      <c r="M74" s="223"/>
      <c r="N74" s="12"/>
      <c r="O74" s="224"/>
      <c r="P74" s="225"/>
      <c r="Q74" s="224"/>
      <c r="R74" s="225"/>
    </row>
    <row r="75" spans="2:18" s="19" customFormat="1">
      <c r="B75" s="13"/>
      <c r="C75" s="12"/>
      <c r="D75" s="223"/>
      <c r="E75" s="12"/>
      <c r="F75" s="224"/>
      <c r="G75" s="225"/>
      <c r="H75" s="224"/>
      <c r="I75" s="225"/>
      <c r="M75" s="223"/>
      <c r="N75" s="12"/>
      <c r="O75" s="224"/>
      <c r="P75" s="225"/>
      <c r="Q75" s="224"/>
      <c r="R75" s="225"/>
    </row>
    <row r="76" spans="2:18" s="19" customFormat="1">
      <c r="B76" s="13"/>
      <c r="C76" s="12"/>
      <c r="D76" s="223"/>
      <c r="E76" s="12"/>
      <c r="F76" s="224"/>
      <c r="G76" s="225"/>
      <c r="H76" s="224"/>
      <c r="I76" s="225"/>
      <c r="M76" s="223"/>
      <c r="N76" s="12"/>
      <c r="O76" s="224"/>
      <c r="P76" s="225"/>
      <c r="Q76" s="224"/>
      <c r="R76" s="225"/>
    </row>
    <row r="77" spans="2:18" s="19" customFormat="1">
      <c r="B77" s="13"/>
      <c r="C77" s="12"/>
      <c r="D77" s="223"/>
      <c r="E77" s="12"/>
      <c r="F77" s="224"/>
      <c r="G77" s="225"/>
      <c r="H77" s="224"/>
      <c r="I77" s="225"/>
      <c r="M77" s="223"/>
      <c r="N77" s="12"/>
      <c r="O77" s="224"/>
      <c r="P77" s="225"/>
      <c r="Q77" s="224"/>
      <c r="R77" s="225"/>
    </row>
    <row r="78" spans="2:18" s="19" customFormat="1">
      <c r="B78" s="13"/>
      <c r="C78" s="12"/>
      <c r="D78" s="223"/>
      <c r="E78" s="12"/>
      <c r="F78" s="224"/>
      <c r="G78" s="225"/>
      <c r="H78" s="224"/>
      <c r="I78" s="225"/>
      <c r="M78" s="223"/>
      <c r="N78" s="12"/>
      <c r="O78" s="224"/>
      <c r="P78" s="225"/>
      <c r="Q78" s="224"/>
      <c r="R78" s="225"/>
    </row>
    <row r="79" spans="2:18" s="19" customFormat="1">
      <c r="B79" s="13"/>
      <c r="C79" s="12"/>
      <c r="D79" s="223"/>
      <c r="E79" s="12"/>
      <c r="F79" s="224"/>
      <c r="G79" s="225"/>
      <c r="H79" s="224"/>
      <c r="I79" s="225"/>
      <c r="M79" s="223"/>
      <c r="N79" s="12"/>
      <c r="O79" s="224"/>
      <c r="P79" s="225"/>
      <c r="Q79" s="224"/>
      <c r="R79" s="225"/>
    </row>
    <row r="80" spans="2:18" s="19" customFormat="1">
      <c r="B80" s="13"/>
      <c r="C80" s="12"/>
      <c r="D80" s="226"/>
      <c r="E80" s="227"/>
      <c r="F80" s="259"/>
      <c r="G80" s="229"/>
      <c r="H80" s="259"/>
      <c r="I80" s="229"/>
      <c r="M80" s="226"/>
      <c r="N80" s="227"/>
      <c r="O80" s="259"/>
      <c r="P80" s="229"/>
      <c r="Q80" s="259"/>
      <c r="R80" s="229"/>
    </row>
    <row r="81" spans="2:18" s="19" customFormat="1">
      <c r="B81" s="13"/>
      <c r="C81" s="12"/>
      <c r="D81" s="226"/>
      <c r="E81" s="226"/>
      <c r="F81" s="226"/>
      <c r="G81" s="226"/>
      <c r="H81" s="226"/>
      <c r="I81" s="226"/>
      <c r="M81" s="226"/>
      <c r="N81" s="226"/>
      <c r="O81" s="226"/>
      <c r="P81" s="226"/>
      <c r="Q81" s="226"/>
      <c r="R81" s="226"/>
    </row>
    <row r="82" spans="2:18" s="19" customFormat="1">
      <c r="B82" s="13"/>
      <c r="C82" s="12"/>
      <c r="D82" s="226"/>
      <c r="E82" s="226"/>
      <c r="F82" s="226"/>
      <c r="G82" s="226"/>
      <c r="H82" s="226"/>
      <c r="I82" s="226"/>
      <c r="M82" s="226"/>
      <c r="N82" s="226"/>
      <c r="O82" s="226"/>
      <c r="P82" s="226"/>
      <c r="Q82" s="226"/>
      <c r="R82" s="226"/>
    </row>
    <row r="83" spans="2:18" s="19" customFormat="1">
      <c r="B83" s="13"/>
      <c r="C83" s="12"/>
      <c r="D83" s="230"/>
      <c r="E83" s="260"/>
      <c r="F83" s="226"/>
      <c r="G83" s="226"/>
      <c r="H83" s="226"/>
      <c r="I83" s="226"/>
      <c r="M83" s="230"/>
      <c r="N83" s="260"/>
      <c r="O83" s="226"/>
      <c r="P83" s="226"/>
      <c r="Q83" s="226"/>
      <c r="R83" s="226"/>
    </row>
    <row r="84" spans="2:18" s="19" customFormat="1">
      <c r="B84" s="13"/>
      <c r="C84" s="12"/>
      <c r="D84" s="227"/>
      <c r="E84" s="260"/>
      <c r="F84" s="226"/>
      <c r="G84" s="226"/>
      <c r="H84" s="226"/>
      <c r="I84" s="226"/>
      <c r="M84" s="227"/>
      <c r="N84" s="260"/>
      <c r="O84" s="226"/>
      <c r="P84" s="226"/>
      <c r="Q84" s="226"/>
      <c r="R84" s="226"/>
    </row>
    <row r="85" spans="2:18" s="19" customFormat="1">
      <c r="B85" s="13"/>
      <c r="C85" s="12"/>
      <c r="D85" s="226"/>
      <c r="E85" s="260"/>
      <c r="F85" s="226"/>
      <c r="G85" s="226"/>
      <c r="H85" s="226"/>
      <c r="I85" s="226"/>
      <c r="M85" s="226"/>
      <c r="N85" s="260"/>
      <c r="O85" s="226"/>
      <c r="P85" s="226"/>
      <c r="Q85" s="226"/>
      <c r="R85" s="226"/>
    </row>
    <row r="86" spans="2:18" s="19" customFormat="1" ht="14">
      <c r="B86" s="226"/>
      <c r="C86" s="227"/>
      <c r="D86" s="232"/>
      <c r="E86" s="232"/>
      <c r="F86" s="232"/>
      <c r="G86" s="232"/>
      <c r="H86" s="232"/>
      <c r="I86" s="232"/>
      <c r="M86" s="232"/>
      <c r="N86" s="232"/>
      <c r="O86" s="232"/>
      <c r="P86" s="232"/>
      <c r="Q86" s="232"/>
      <c r="R86" s="232"/>
    </row>
    <row r="87" spans="2:18" s="19" customFormat="1" ht="14">
      <c r="B87" s="123"/>
      <c r="C87" s="123"/>
      <c r="D87" s="232"/>
      <c r="E87" s="232"/>
      <c r="F87" s="232"/>
      <c r="G87" s="232"/>
      <c r="H87" s="232"/>
      <c r="I87" s="232"/>
      <c r="M87" s="232"/>
      <c r="N87" s="232"/>
      <c r="O87" s="232"/>
      <c r="P87" s="232"/>
      <c r="Q87" s="232"/>
      <c r="R87" s="232"/>
    </row>
    <row r="88" spans="2:18" s="19" customFormat="1" ht="14">
      <c r="B88" s="123"/>
      <c r="C88" s="123"/>
      <c r="D88" s="233"/>
      <c r="E88" s="261"/>
      <c r="F88" s="232"/>
      <c r="G88" s="232"/>
      <c r="H88" s="232"/>
      <c r="I88" s="232"/>
      <c r="M88" s="233"/>
      <c r="N88" s="261"/>
      <c r="O88" s="232"/>
      <c r="P88" s="232"/>
      <c r="Q88" s="232"/>
      <c r="R88" s="232"/>
    </row>
    <row r="89" spans="2:18" s="19" customFormat="1" ht="14">
      <c r="B89" s="230"/>
      <c r="C89" s="260"/>
      <c r="D89" s="235"/>
      <c r="E89" s="261"/>
      <c r="F89" s="232"/>
      <c r="G89" s="232"/>
      <c r="H89" s="232"/>
      <c r="I89" s="232"/>
      <c r="M89" s="235"/>
      <c r="N89" s="261"/>
      <c r="O89" s="232"/>
      <c r="P89" s="232"/>
      <c r="Q89" s="232"/>
      <c r="R89" s="232"/>
    </row>
    <row r="90" spans="2:18" s="19" customFormat="1" ht="14">
      <c r="B90" s="236"/>
      <c r="C90" s="260"/>
      <c r="D90" s="232"/>
      <c r="E90" s="261"/>
      <c r="F90" s="232"/>
      <c r="G90" s="232"/>
      <c r="H90" s="232"/>
      <c r="I90" s="232"/>
      <c r="M90" s="232"/>
      <c r="N90" s="261"/>
      <c r="O90" s="232"/>
      <c r="P90" s="232"/>
      <c r="Q90" s="232"/>
      <c r="R90" s="232"/>
    </row>
    <row r="91" spans="2:18" s="19" customFormat="1">
      <c r="C91" s="260"/>
    </row>
    <row r="92" spans="2:18" s="19" customFormat="1"/>
    <row r="93" spans="2:18" s="19" customFormat="1"/>
    <row r="94" spans="2:18" s="19" customFormat="1"/>
    <row r="95" spans="2:18" s="19" customFormat="1"/>
    <row r="96" spans="2:18"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5" customWidth="1"/>
    <col min="2" max="2" width="50.81640625" style="105" customWidth="1"/>
    <col min="3" max="3" width="14.81640625" style="105" customWidth="1"/>
    <col min="4" max="4" width="19" style="105" customWidth="1"/>
    <col min="5" max="5" width="4.81640625" style="105" customWidth="1"/>
    <col min="6" max="6" width="23.1796875" style="105" customWidth="1"/>
    <col min="7" max="7" width="4.81640625" style="105" customWidth="1"/>
    <col min="8" max="8" width="18.81640625" style="105" customWidth="1"/>
    <col min="9" max="9" width="4.81640625" style="105" customWidth="1"/>
    <col min="10" max="10" width="25.81640625" style="105" customWidth="1"/>
    <col min="11" max="11" width="1.1796875" style="105" customWidth="1"/>
    <col min="12" max="12" width="11.54296875" style="105" bestFit="1" customWidth="1"/>
    <col min="13" max="16384" width="9.1796875" style="105"/>
  </cols>
  <sheetData>
    <row r="1" spans="1:13" ht="6" customHeight="1">
      <c r="A1" s="130"/>
      <c r="B1" s="131"/>
      <c r="C1" s="131"/>
      <c r="D1" s="131"/>
      <c r="E1" s="131"/>
      <c r="F1" s="131"/>
      <c r="G1" s="131"/>
      <c r="H1" s="131"/>
      <c r="I1" s="131"/>
      <c r="J1" s="131"/>
      <c r="K1" s="132"/>
    </row>
    <row r="2" spans="1:13" ht="18">
      <c r="A2" s="133"/>
      <c r="B2" s="134" t="str">
        <f>'Cover Sheet'!B2</f>
        <v>SC Germany Consumer 2023-1</v>
      </c>
      <c r="C2" s="879"/>
      <c r="D2" s="135" t="s">
        <v>405</v>
      </c>
      <c r="E2" s="136"/>
      <c r="F2" s="137">
        <f>'Cover Sheet'!F2</f>
        <v>45973</v>
      </c>
      <c r="G2" s="136"/>
      <c r="H2" s="136"/>
      <c r="I2" s="136"/>
      <c r="J2" s="138"/>
      <c r="K2" s="139"/>
      <c r="L2" s="880"/>
    </row>
    <row r="3" spans="1:13" ht="18">
      <c r="A3" s="133"/>
      <c r="B3" s="134" t="str">
        <f>'Cover Sheet'!B3</f>
        <v>Monthly Investor Report</v>
      </c>
      <c r="C3" s="879"/>
      <c r="D3" s="141" t="s">
        <v>2</v>
      </c>
      <c r="E3" s="142"/>
      <c r="F3" s="143">
        <f>'Cover Sheet'!F3</f>
        <v>45975</v>
      </c>
      <c r="G3" s="142"/>
      <c r="H3" s="142"/>
      <c r="I3" s="142"/>
      <c r="J3" s="144"/>
      <c r="K3" s="139"/>
      <c r="L3" s="881"/>
    </row>
    <row r="4" spans="1:13" ht="13">
      <c r="A4" s="133"/>
      <c r="B4" s="185"/>
      <c r="C4" s="145"/>
      <c r="D4" s="141" t="s">
        <v>3</v>
      </c>
      <c r="E4" s="142"/>
      <c r="F4" s="146">
        <f>'Cover Sheet'!F4</f>
        <v>27</v>
      </c>
      <c r="G4" s="142"/>
      <c r="H4" s="893">
        <f>F4-1</f>
        <v>26</v>
      </c>
      <c r="I4" s="142"/>
      <c r="J4" s="148"/>
      <c r="K4" s="139"/>
      <c r="L4" s="880"/>
    </row>
    <row r="5" spans="1:13" ht="18">
      <c r="A5" s="133"/>
      <c r="B5" s="149" t="s">
        <v>32</v>
      </c>
      <c r="C5" s="882"/>
      <c r="D5" s="141" t="s">
        <v>1</v>
      </c>
      <c r="E5" s="142"/>
      <c r="F5" s="150">
        <f>'Cover Sheet'!F5</f>
        <v>45975</v>
      </c>
      <c r="G5" s="142"/>
      <c r="H5" s="147"/>
      <c r="I5" s="142"/>
      <c r="J5" s="148"/>
      <c r="K5" s="139"/>
      <c r="L5" s="881"/>
    </row>
    <row r="6" spans="1:13" ht="15" customHeight="1">
      <c r="A6" s="133"/>
      <c r="B6" s="151"/>
      <c r="C6" s="140"/>
      <c r="D6" s="141" t="s">
        <v>51</v>
      </c>
      <c r="E6" s="152" t="s">
        <v>34</v>
      </c>
      <c r="F6" s="143">
        <f>'Cover Sheet'!F6</f>
        <v>45944</v>
      </c>
      <c r="G6" s="152" t="str">
        <f>'Cover Sheet'!G6</f>
        <v>to</v>
      </c>
      <c r="H6" s="143">
        <f>'Cover Sheet'!H6</f>
        <v>45975</v>
      </c>
      <c r="I6" s="152" t="str">
        <f>'Cover Sheet'!I6</f>
        <v>=</v>
      </c>
      <c r="J6" s="153" t="str">
        <f>'Cover Sheet'!J6</f>
        <v>31 days</v>
      </c>
      <c r="K6" s="154"/>
      <c r="M6" s="155"/>
    </row>
    <row r="7" spans="1:13" ht="13">
      <c r="A7" s="133"/>
      <c r="B7" s="883"/>
      <c r="C7" s="883"/>
      <c r="D7" s="156" t="s">
        <v>111</v>
      </c>
      <c r="E7" s="157" t="s">
        <v>34</v>
      </c>
      <c r="F7" s="158" t="str">
        <f>'Cover Sheet'!F7</f>
        <v>01.10.2025</v>
      </c>
      <c r="G7" s="157" t="str">
        <f>'Cover Sheet'!G7</f>
        <v>to</v>
      </c>
      <c r="H7" s="158">
        <f>'Cover Sheet'!H7</f>
        <v>45961</v>
      </c>
      <c r="I7" s="384"/>
      <c r="J7" s="192"/>
      <c r="K7" s="139"/>
    </row>
    <row r="8" spans="1:13" ht="13">
      <c r="A8" s="133"/>
      <c r="B8" s="123"/>
      <c r="C8" s="123"/>
      <c r="D8" s="115"/>
      <c r="E8" s="123"/>
      <c r="F8" s="161"/>
      <c r="G8" s="162"/>
      <c r="H8" s="163"/>
      <c r="I8" s="123"/>
      <c r="J8" s="123"/>
      <c r="K8" s="139"/>
    </row>
    <row r="9" spans="1:13" ht="13">
      <c r="A9" s="133"/>
      <c r="B9" s="123"/>
      <c r="C9" s="123"/>
      <c r="D9" s="115"/>
      <c r="E9" s="123"/>
      <c r="F9" s="161"/>
      <c r="G9" s="162"/>
      <c r="H9" s="163"/>
      <c r="I9" s="123"/>
      <c r="J9" s="123"/>
      <c r="K9" s="139"/>
    </row>
    <row r="10" spans="1:13" ht="13">
      <c r="A10" s="133"/>
      <c r="B10" s="123"/>
      <c r="C10" s="123"/>
      <c r="D10" s="115"/>
      <c r="E10" s="123"/>
      <c r="F10" s="161"/>
      <c r="G10" s="162"/>
      <c r="H10" s="163"/>
      <c r="I10" s="123"/>
      <c r="J10" s="123"/>
      <c r="K10" s="139"/>
    </row>
    <row r="11" spans="1:13" ht="18" customHeight="1">
      <c r="A11" s="133"/>
      <c r="B11" s="123"/>
      <c r="C11" s="123"/>
      <c r="D11" s="115"/>
      <c r="E11" s="123"/>
      <c r="F11" s="161" t="s">
        <v>97</v>
      </c>
      <c r="G11" s="162"/>
      <c r="H11" s="163"/>
      <c r="I11" s="123"/>
      <c r="J11" s="162" t="s">
        <v>98</v>
      </c>
      <c r="K11" s="139"/>
    </row>
    <row r="12" spans="1:13">
      <c r="A12" s="133"/>
      <c r="B12" s="123"/>
      <c r="C12" s="123"/>
      <c r="D12" s="123"/>
      <c r="E12" s="123"/>
      <c r="F12" s="123"/>
      <c r="G12" s="123"/>
      <c r="H12" s="123"/>
      <c r="I12" s="123"/>
      <c r="J12" s="123"/>
      <c r="K12" s="139"/>
    </row>
    <row r="13" spans="1:13" ht="26">
      <c r="A13" s="133"/>
      <c r="B13" s="134" t="s">
        <v>53</v>
      </c>
      <c r="C13" s="884" t="s">
        <v>105</v>
      </c>
      <c r="E13" s="165"/>
      <c r="F13" s="884" t="s">
        <v>99</v>
      </c>
      <c r="G13" s="123"/>
      <c r="H13" s="123"/>
      <c r="I13" s="123"/>
      <c r="J13" s="884" t="s">
        <v>99</v>
      </c>
      <c r="K13" s="139"/>
      <c r="L13" s="885"/>
    </row>
    <row r="14" spans="1:13" ht="18">
      <c r="A14" s="133"/>
      <c r="B14" s="134"/>
      <c r="C14" s="884"/>
      <c r="E14" s="165"/>
      <c r="F14" s="894"/>
      <c r="G14" s="123"/>
      <c r="H14" s="123"/>
      <c r="I14" s="123"/>
      <c r="J14" s="886"/>
      <c r="K14" s="139"/>
    </row>
    <row r="15" spans="1:13" ht="13">
      <c r="A15" s="133"/>
      <c r="B15" s="171" t="s">
        <v>13</v>
      </c>
      <c r="C15" s="975">
        <f>VLOOKUP("Nbr_loans_bop",Assets_Daten,3,0)</f>
        <v>36506</v>
      </c>
      <c r="D15" s="66"/>
      <c r="E15" s="171"/>
      <c r="F15" s="932">
        <f>VLOOKUP("Outstanding_bop_current",calcdata,2,0)</f>
        <v>510138365.52999997</v>
      </c>
      <c r="G15" s="887"/>
      <c r="H15" s="887"/>
      <c r="I15" s="887"/>
      <c r="J15" s="976">
        <f>VLOOKUP("Outstanding_bop_previous",calcdata,2,0)</f>
        <v>528523069.44999999</v>
      </c>
      <c r="K15" s="139"/>
    </row>
    <row r="16" spans="1:13" ht="13">
      <c r="A16" s="133"/>
      <c r="F16" s="896"/>
      <c r="G16" s="875"/>
      <c r="H16" s="875"/>
      <c r="I16" s="875"/>
      <c r="J16" s="891"/>
      <c r="K16" s="139"/>
    </row>
    <row r="17" spans="1:11">
      <c r="A17" s="133"/>
      <c r="B17" s="123" t="s">
        <v>37</v>
      </c>
      <c r="C17" s="897"/>
      <c r="E17" s="123"/>
      <c r="F17" s="877">
        <f>F20-F18</f>
        <v>8569526.9700000025</v>
      </c>
      <c r="G17" s="875"/>
      <c r="H17" s="875"/>
      <c r="I17" s="875"/>
      <c r="J17" s="336">
        <f>J20-J18</f>
        <v>8969960.3400000036</v>
      </c>
      <c r="K17" s="139"/>
    </row>
    <row r="18" spans="1:11">
      <c r="A18" s="133"/>
      <c r="B18" s="123" t="s">
        <v>38</v>
      </c>
      <c r="C18" s="123"/>
      <c r="E18" s="123"/>
      <c r="F18" s="336">
        <f>VLOOKUP(F4,'1.1 Portfolio Information p.p.'!B:E,4,FALSE)</f>
        <v>6497243.5799999982</v>
      </c>
      <c r="G18" s="875"/>
      <c r="H18" s="898"/>
      <c r="I18" s="875"/>
      <c r="J18" s="336">
        <f>VLOOKUP(H4,'1.1 Portfolio Information p.p.'!B:E,4,FALSE)</f>
        <v>6635839.2199999979</v>
      </c>
      <c r="K18" s="139"/>
    </row>
    <row r="19" spans="1:11" ht="13">
      <c r="A19" s="133"/>
      <c r="B19" s="123"/>
      <c r="C19" s="123"/>
      <c r="E19" s="123"/>
      <c r="F19" s="877"/>
      <c r="G19" s="875"/>
      <c r="H19" s="875"/>
      <c r="I19" s="875"/>
      <c r="J19" s="891"/>
      <c r="K19" s="139"/>
    </row>
    <row r="20" spans="1:11" ht="13">
      <c r="A20" s="133"/>
      <c r="B20" s="171" t="s">
        <v>39</v>
      </c>
      <c r="C20" s="897"/>
      <c r="E20" s="123"/>
      <c r="F20" s="932">
        <f>VLOOKUP("Total_Principal_Collections_current",calcdata,2,0)</f>
        <v>15066770.550000001</v>
      </c>
      <c r="G20" s="875"/>
      <c r="H20" s="875"/>
      <c r="I20" s="875"/>
      <c r="J20" s="976">
        <f>VLOOKUP("Total_Principal_Collections_previous",calcdata,2,0)</f>
        <v>15605799.560000001</v>
      </c>
      <c r="K20" s="139"/>
    </row>
    <row r="21" spans="1:11" ht="13">
      <c r="A21" s="133"/>
      <c r="E21" s="123"/>
      <c r="F21" s="933"/>
      <c r="G21" s="875"/>
      <c r="H21" s="875"/>
      <c r="I21" s="875"/>
      <c r="J21" s="977"/>
      <c r="K21" s="139"/>
    </row>
    <row r="22" spans="1:11" ht="13">
      <c r="A22" s="133"/>
      <c r="B22" s="171" t="s">
        <v>40</v>
      </c>
      <c r="C22" s="900"/>
      <c r="E22" s="123"/>
      <c r="F22" s="932">
        <f>VLOOKUP("Collected_Interest_Portion_current",calcdata,2,0)</f>
        <v>3068945.66</v>
      </c>
      <c r="G22" s="875"/>
      <c r="H22" s="875"/>
      <c r="I22" s="875"/>
      <c r="J22" s="976">
        <f>VLOOKUP("Collected_Interest_Portion_previous",calcdata,2,0)</f>
        <v>3182428.03</v>
      </c>
      <c r="K22" s="139"/>
    </row>
    <row r="23" spans="1:11" ht="13">
      <c r="A23" s="133"/>
      <c r="B23" s="171"/>
      <c r="C23" s="900"/>
      <c r="E23" s="123"/>
      <c r="F23" s="899"/>
      <c r="G23" s="875"/>
      <c r="H23" s="875"/>
      <c r="I23" s="875"/>
      <c r="J23" s="977"/>
      <c r="K23" s="139"/>
    </row>
    <row r="24" spans="1:11" ht="13">
      <c r="A24" s="133"/>
      <c r="B24" s="171" t="s">
        <v>41</v>
      </c>
      <c r="C24" s="897"/>
      <c r="E24" s="123"/>
      <c r="F24" s="931">
        <f>VLOOKUP("Defaults_current",calcdata,2,0)</f>
        <v>2428482.5600000001</v>
      </c>
      <c r="G24" s="875"/>
      <c r="H24" s="875"/>
      <c r="I24" s="875"/>
      <c r="J24" s="977">
        <f>VLOOKUP("Defaults_previous",calcdata,2,0)</f>
        <v>2778904.36</v>
      </c>
      <c r="K24" s="139"/>
    </row>
    <row r="25" spans="1:11" ht="13">
      <c r="A25" s="133"/>
      <c r="B25" s="171"/>
      <c r="C25" s="897"/>
      <c r="E25" s="123"/>
      <c r="F25" s="899"/>
      <c r="G25" s="875"/>
      <c r="H25" s="875"/>
      <c r="I25" s="875"/>
      <c r="J25" s="977"/>
      <c r="K25" s="139"/>
    </row>
    <row r="26" spans="1:11" ht="13">
      <c r="A26" s="133"/>
      <c r="B26" s="171" t="s">
        <v>136</v>
      </c>
      <c r="C26" s="897"/>
      <c r="E26" s="123"/>
      <c r="F26" s="932">
        <f>VLOOKUP("replenishment_current",calcdata,2,0)</f>
        <v>0</v>
      </c>
      <c r="G26" s="875"/>
      <c r="H26" s="875"/>
      <c r="I26" s="875"/>
      <c r="J26" s="976">
        <f>VLOOKUP("replenishment_previous",calcdata,2,0)</f>
        <v>0</v>
      </c>
      <c r="K26" s="139"/>
    </row>
    <row r="27" spans="1:11" ht="13">
      <c r="A27" s="133"/>
      <c r="B27" s="172"/>
      <c r="C27" s="123"/>
      <c r="E27" s="123"/>
      <c r="F27" s="899"/>
      <c r="G27" s="875"/>
      <c r="H27" s="875"/>
      <c r="I27" s="875"/>
      <c r="J27" s="977"/>
      <c r="K27" s="139"/>
    </row>
    <row r="28" spans="1:11" s="66" customFormat="1" ht="13">
      <c r="A28" s="889"/>
      <c r="B28" s="171" t="s">
        <v>14</v>
      </c>
      <c r="C28" s="895"/>
      <c r="E28" s="171"/>
      <c r="F28" s="932">
        <f>VLOOKUP("Outstanding_eop_current",calcdata,2,0)</f>
        <v>492643112.42000002</v>
      </c>
      <c r="G28" s="890"/>
      <c r="H28" s="890"/>
      <c r="I28" s="890"/>
      <c r="J28" s="976">
        <f>VLOOKUP("Outstanding_eop_previous",calcdata,2,0)</f>
        <v>510138365.52999997</v>
      </c>
      <c r="K28" s="194"/>
    </row>
    <row r="29" spans="1:11" s="66" customFormat="1" ht="13">
      <c r="A29" s="889"/>
      <c r="B29" s="171"/>
      <c r="C29" s="171"/>
      <c r="E29" s="171"/>
      <c r="F29" s="899"/>
      <c r="G29" s="887"/>
      <c r="H29" s="887"/>
      <c r="I29" s="887"/>
      <c r="J29" s="977"/>
      <c r="K29" s="194"/>
    </row>
    <row r="30" spans="1:11" s="66" customFormat="1" ht="13">
      <c r="A30" s="889"/>
      <c r="B30" s="171" t="s">
        <v>137</v>
      </c>
      <c r="C30" s="171"/>
      <c r="E30" s="171"/>
      <c r="F30" s="932">
        <f>VLOOKUP("Purchase_Shortfall_current",calcdata,2,0)</f>
        <v>6.32</v>
      </c>
      <c r="G30" s="887"/>
      <c r="H30" s="887"/>
      <c r="I30" s="887"/>
      <c r="J30" s="976">
        <f>VLOOKUP("Purchase_Shortfall_previous",calcdata,2,0)</f>
        <v>33.36</v>
      </c>
      <c r="K30" s="194"/>
    </row>
    <row r="31" spans="1:11" ht="13">
      <c r="A31" s="133"/>
      <c r="F31" s="933"/>
      <c r="G31" s="898"/>
      <c r="H31" s="898"/>
      <c r="I31" s="898"/>
      <c r="J31" s="976"/>
      <c r="K31" s="139"/>
    </row>
    <row r="32" spans="1:11" s="66" customFormat="1" ht="13">
      <c r="A32" s="889"/>
      <c r="B32" s="66" t="s">
        <v>138</v>
      </c>
      <c r="C32" s="975">
        <f>VLOOKUP("Nbr_loans",Assets_Daten,3,0)</f>
        <v>35695</v>
      </c>
      <c r="F32" s="932">
        <f>VLOOKUP("total_assets_current",calcdata,2,0)</f>
        <v>492643118.74000001</v>
      </c>
      <c r="G32" s="901"/>
      <c r="H32" s="901"/>
      <c r="I32" s="901"/>
      <c r="J32" s="976">
        <f>VLOOKUP("total_assets_previous",calcdata,2,0)</f>
        <v>510138398.88999999</v>
      </c>
      <c r="K32" s="194"/>
    </row>
    <row r="33" spans="1:11">
      <c r="A33" s="133"/>
      <c r="F33" s="894"/>
      <c r="J33" s="894"/>
      <c r="K33" s="139"/>
    </row>
    <row r="34" spans="1:11" ht="13">
      <c r="A34" s="133"/>
      <c r="B34" s="171" t="s">
        <v>9</v>
      </c>
      <c r="C34" s="123"/>
      <c r="E34" s="123"/>
      <c r="F34" s="876">
        <f>IF(F15=0,0,1-(1-(F18/F15))^12)</f>
        <v>0.14257062841221446</v>
      </c>
      <c r="G34" s="123"/>
      <c r="H34" s="123"/>
      <c r="I34" s="123"/>
      <c r="J34" s="185"/>
      <c r="K34" s="139"/>
    </row>
    <row r="35" spans="1:11">
      <c r="A35" s="133"/>
      <c r="F35" s="894"/>
      <c r="J35" s="894"/>
      <c r="K35" s="139"/>
    </row>
    <row r="36" spans="1:11" ht="13">
      <c r="A36" s="133"/>
      <c r="B36" s="66" t="s">
        <v>290</v>
      </c>
      <c r="F36" s="876">
        <f>'5. Outstanding Notes'!C35</f>
        <v>0.60973949611848821</v>
      </c>
      <c r="J36" s="894"/>
      <c r="K36" s="139"/>
    </row>
    <row r="37" spans="1:11">
      <c r="A37" s="133"/>
      <c r="F37" s="894"/>
      <c r="J37" s="894"/>
      <c r="K37" s="139"/>
    </row>
    <row r="38" spans="1:11">
      <c r="A38" s="133"/>
      <c r="F38" s="894"/>
      <c r="J38" s="894"/>
      <c r="K38" s="139"/>
    </row>
    <row r="39" spans="1:11">
      <c r="A39" s="133"/>
      <c r="F39" s="894"/>
      <c r="J39" s="894"/>
      <c r="K39" s="139"/>
    </row>
    <row r="40" spans="1:11">
      <c r="A40" s="133"/>
      <c r="F40" s="894"/>
      <c r="J40" s="894"/>
      <c r="K40" s="139"/>
    </row>
    <row r="41" spans="1:11">
      <c r="A41" s="133"/>
      <c r="F41" s="894"/>
      <c r="J41" s="894"/>
      <c r="K41" s="139"/>
    </row>
    <row r="42" spans="1:11">
      <c r="A42" s="133"/>
      <c r="F42" s="894"/>
      <c r="J42" s="894"/>
      <c r="K42" s="139"/>
    </row>
    <row r="43" spans="1:11">
      <c r="A43" s="133"/>
      <c r="F43" s="894"/>
      <c r="J43" s="894"/>
      <c r="K43" s="139"/>
    </row>
    <row r="44" spans="1:11">
      <c r="A44" s="133"/>
      <c r="J44" s="894"/>
      <c r="K44" s="139"/>
    </row>
    <row r="45" spans="1:11">
      <c r="A45" s="133"/>
      <c r="J45" s="894"/>
      <c r="K45" s="139"/>
    </row>
    <row r="46" spans="1:11">
      <c r="A46" s="133"/>
      <c r="J46" s="894"/>
      <c r="K46" s="139"/>
    </row>
    <row r="47" spans="1:11">
      <c r="A47" s="133"/>
      <c r="J47" s="894"/>
      <c r="K47" s="139"/>
    </row>
    <row r="48" spans="1:11">
      <c r="A48" s="133"/>
      <c r="J48" s="894"/>
      <c r="K48" s="139"/>
    </row>
    <row r="49" spans="1:11">
      <c r="A49" s="133"/>
      <c r="J49" s="894"/>
      <c r="K49" s="139"/>
    </row>
    <row r="50" spans="1:11">
      <c r="A50" s="133"/>
      <c r="J50" s="894"/>
      <c r="K50" s="139"/>
    </row>
    <row r="51" spans="1:11" ht="12.75" customHeight="1">
      <c r="A51" s="173"/>
      <c r="B51" s="175"/>
      <c r="C51" s="175"/>
      <c r="D51" s="175"/>
      <c r="E51" s="175"/>
      <c r="F51" s="175"/>
      <c r="G51" s="175"/>
      <c r="H51" s="175"/>
      <c r="I51" s="175"/>
      <c r="J51" s="175"/>
      <c r="K51" s="176"/>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425" customWidth="1"/>
    <col min="2" max="2" width="25" style="425" customWidth="1"/>
    <col min="3" max="3" width="23" style="425" customWidth="1"/>
    <col min="4" max="4" width="22.81640625" style="425" bestFit="1" customWidth="1"/>
    <col min="5" max="5" width="15.81640625" style="425" customWidth="1"/>
    <col min="6" max="7" width="22.81640625" style="425" bestFit="1" customWidth="1"/>
    <col min="8" max="8" width="21.54296875" style="425" customWidth="1"/>
    <col min="9" max="10" width="22.81640625" style="425" bestFit="1" customWidth="1"/>
    <col min="11" max="11" width="1.81640625" style="425" customWidth="1"/>
    <col min="12" max="12" width="1.453125" style="425" customWidth="1"/>
    <col min="13" max="13" width="18.81640625" style="425" customWidth="1"/>
    <col min="14" max="14" width="2" style="425" customWidth="1"/>
    <col min="15" max="16384" width="9.1796875" style="425"/>
  </cols>
  <sheetData>
    <row r="1" spans="1:14" ht="6" customHeight="1">
      <c r="A1" s="421"/>
      <c r="B1" s="422"/>
      <c r="C1" s="422"/>
      <c r="D1" s="422"/>
      <c r="E1" s="422"/>
      <c r="F1" s="422"/>
      <c r="G1" s="422"/>
      <c r="H1" s="422"/>
      <c r="I1" s="422"/>
      <c r="J1" s="422"/>
      <c r="K1" s="423"/>
      <c r="L1" s="424"/>
    </row>
    <row r="2" spans="1:14" ht="18">
      <c r="A2" s="424"/>
      <c r="B2" s="426" t="str">
        <f>'Cover Sheet'!B2</f>
        <v>SC Germany Consumer 2023-1</v>
      </c>
      <c r="C2" s="427"/>
      <c r="D2" s="428" t="str">
        <f>'Cover Sheet'!D2</f>
        <v>Calculation Date</v>
      </c>
      <c r="E2" s="429"/>
      <c r="F2" s="430">
        <f>'Cover Sheet'!F2</f>
        <v>45973</v>
      </c>
      <c r="G2" s="429"/>
      <c r="H2" s="429"/>
      <c r="I2" s="429"/>
      <c r="J2" s="431"/>
      <c r="K2" s="432"/>
      <c r="L2" s="433"/>
    </row>
    <row r="3" spans="1:14" ht="18">
      <c r="A3" s="424"/>
      <c r="B3" s="434" t="str">
        <f>'Cover Sheet'!B3</f>
        <v>Monthly Investor Report</v>
      </c>
      <c r="C3" s="435"/>
      <c r="D3" s="436" t="str">
        <f>'Cover Sheet'!D3</f>
        <v>Payment Date</v>
      </c>
      <c r="E3" s="437"/>
      <c r="F3" s="438">
        <f>'Cover Sheet'!F3</f>
        <v>45975</v>
      </c>
      <c r="G3" s="437"/>
      <c r="H3" s="437"/>
      <c r="I3" s="437"/>
      <c r="J3" s="439"/>
      <c r="K3" s="432"/>
      <c r="L3" s="433"/>
    </row>
    <row r="4" spans="1:14">
      <c r="A4" s="424"/>
      <c r="B4" s="440"/>
      <c r="C4" s="441"/>
      <c r="D4" s="436" t="str">
        <f>'Cover Sheet'!D4</f>
        <v>Period  No</v>
      </c>
      <c r="E4" s="437"/>
      <c r="F4" s="442">
        <f>'Cover Sheet'!F4</f>
        <v>27</v>
      </c>
      <c r="G4" s="437"/>
      <c r="H4" s="443"/>
      <c r="I4" s="437"/>
      <c r="J4" s="439"/>
      <c r="K4" s="444"/>
      <c r="L4" s="445"/>
    </row>
    <row r="5" spans="1:14" ht="18">
      <c r="A5" s="424"/>
      <c r="B5" s="446" t="s">
        <v>373</v>
      </c>
      <c r="C5" s="447"/>
      <c r="D5" s="436" t="str">
        <f>'Cover Sheet'!D5</f>
        <v>Monthly Period</v>
      </c>
      <c r="E5" s="437"/>
      <c r="F5" s="150">
        <f>'Cover Sheet'!F5</f>
        <v>45975</v>
      </c>
      <c r="G5" s="437"/>
      <c r="H5" s="443"/>
      <c r="I5" s="437"/>
      <c r="J5" s="439"/>
      <c r="K5" s="444"/>
      <c r="L5" s="445"/>
    </row>
    <row r="6" spans="1:14" s="381" customFormat="1" ht="15" customHeight="1">
      <c r="A6" s="424"/>
      <c r="B6" s="448"/>
      <c r="C6" s="449"/>
      <c r="D6" s="436" t="str">
        <f>'Cover Sheet'!D6</f>
        <v>Interest Period</v>
      </c>
      <c r="E6" s="450" t="str">
        <f>'Cover Sheet'!E6</f>
        <v>from</v>
      </c>
      <c r="F6" s="438">
        <f>'Cover Sheet'!F6</f>
        <v>45944</v>
      </c>
      <c r="G6" s="450" t="str">
        <f>'Cover Sheet'!G6</f>
        <v>to</v>
      </c>
      <c r="H6" s="438">
        <f>'Cover Sheet'!H6</f>
        <v>45975</v>
      </c>
      <c r="I6" s="450" t="str">
        <f>'Cover Sheet'!I6</f>
        <v>=</v>
      </c>
      <c r="J6" s="451" t="str">
        <f>'Cover Sheet'!J6</f>
        <v>31 days</v>
      </c>
      <c r="K6" s="452"/>
      <c r="L6" s="453"/>
      <c r="M6" s="425"/>
      <c r="N6" s="454"/>
    </row>
    <row r="7" spans="1:14">
      <c r="A7" s="424"/>
      <c r="B7" s="133"/>
      <c r="D7" s="455" t="str">
        <f>'Cover Sheet'!D7</f>
        <v>Collection Period</v>
      </c>
      <c r="E7" s="456" t="str">
        <f>'Cover Sheet'!E7</f>
        <v>from</v>
      </c>
      <c r="F7" s="457" t="str">
        <f>'Cover Sheet'!F7</f>
        <v>01.10.2025</v>
      </c>
      <c r="G7" s="456" t="str">
        <f>'Cover Sheet'!G7</f>
        <v>to</v>
      </c>
      <c r="H7" s="457">
        <f>'Cover Sheet'!H7</f>
        <v>45961</v>
      </c>
      <c r="I7" s="458"/>
      <c r="J7" s="459"/>
      <c r="K7" s="432"/>
      <c r="L7" s="433"/>
    </row>
    <row r="8" spans="1:14" ht="13">
      <c r="A8" s="424"/>
      <c r="B8" s="424"/>
      <c r="F8" s="460"/>
      <c r="G8" s="461"/>
      <c r="H8" s="462"/>
      <c r="J8" s="463"/>
      <c r="K8" s="464"/>
      <c r="L8" s="465"/>
      <c r="M8" s="454"/>
    </row>
    <row r="9" spans="1:14">
      <c r="A9" s="424"/>
      <c r="B9" s="424"/>
      <c r="F9" s="441"/>
      <c r="J9" s="464"/>
      <c r="K9" s="464"/>
      <c r="L9" s="424"/>
    </row>
    <row r="10" spans="1:14">
      <c r="A10" s="424"/>
      <c r="B10" s="424"/>
      <c r="F10" s="466"/>
      <c r="J10" s="464"/>
      <c r="K10" s="464"/>
      <c r="L10" s="424"/>
    </row>
    <row r="11" spans="1:14" ht="18" customHeight="1">
      <c r="A11" s="424"/>
      <c r="B11" s="424"/>
      <c r="F11" s="441"/>
      <c r="J11" s="464"/>
      <c r="K11" s="464"/>
      <c r="L11" s="424"/>
    </row>
    <row r="12" spans="1:14">
      <c r="A12" s="424"/>
      <c r="B12" s="424"/>
      <c r="F12" s="441"/>
      <c r="J12" s="464"/>
      <c r="K12" s="464"/>
      <c r="L12" s="424"/>
    </row>
    <row r="13" spans="1:14">
      <c r="A13" s="424"/>
      <c r="B13" s="424"/>
      <c r="F13" s="467"/>
      <c r="J13" s="432"/>
      <c r="K13" s="432"/>
      <c r="L13" s="433"/>
      <c r="M13" s="468"/>
    </row>
    <row r="14" spans="1:14" ht="18">
      <c r="A14" s="424"/>
      <c r="B14" s="469" t="s">
        <v>322</v>
      </c>
      <c r="C14" s="470"/>
      <c r="D14" s="471"/>
      <c r="E14" s="471"/>
      <c r="F14" s="472"/>
      <c r="G14" s="472"/>
      <c r="H14" s="473"/>
      <c r="J14" s="474"/>
      <c r="K14" s="432"/>
      <c r="L14" s="475"/>
      <c r="M14" s="471"/>
    </row>
    <row r="15" spans="1:14" ht="12.75" customHeight="1">
      <c r="A15" s="424"/>
      <c r="B15" s="434"/>
      <c r="C15" s="470"/>
      <c r="D15" s="476"/>
      <c r="E15" s="468"/>
      <c r="F15" s="477"/>
      <c r="G15" s="468"/>
      <c r="H15" s="477"/>
      <c r="I15" s="468"/>
      <c r="J15" s="478"/>
      <c r="K15" s="432"/>
      <c r="L15" s="433"/>
      <c r="M15" s="471"/>
    </row>
    <row r="16" spans="1:14" ht="13" thickBot="1">
      <c r="A16" s="424"/>
      <c r="B16" s="479"/>
      <c r="F16" s="477"/>
      <c r="H16" s="480"/>
      <c r="I16" s="468"/>
      <c r="J16" s="478"/>
      <c r="K16" s="432"/>
      <c r="L16" s="433"/>
      <c r="M16" s="468"/>
    </row>
    <row r="17" spans="1:13" ht="15" customHeight="1">
      <c r="A17" s="424"/>
      <c r="B17" s="424"/>
      <c r="C17" s="1027" t="s">
        <v>111</v>
      </c>
      <c r="D17" s="1030" t="s">
        <v>323</v>
      </c>
      <c r="E17" s="481"/>
      <c r="F17" s="1027" t="s">
        <v>111</v>
      </c>
      <c r="G17" s="1030" t="s">
        <v>323</v>
      </c>
      <c r="H17" s="454"/>
      <c r="I17" s="468"/>
      <c r="J17" s="478"/>
      <c r="K17" s="432"/>
      <c r="L17" s="482"/>
      <c r="M17" s="468"/>
    </row>
    <row r="18" spans="1:13" ht="13.5" customHeight="1" thickBot="1">
      <c r="A18" s="424"/>
      <c r="B18" s="424"/>
      <c r="C18" s="1028"/>
      <c r="D18" s="1031"/>
      <c r="E18" s="461"/>
      <c r="F18" s="1028"/>
      <c r="G18" s="1031"/>
      <c r="H18" s="461"/>
      <c r="I18" s="468"/>
      <c r="J18" s="478"/>
      <c r="K18" s="478"/>
      <c r="L18" s="483"/>
      <c r="M18" s="468"/>
    </row>
    <row r="19" spans="1:13" ht="13">
      <c r="A19" s="424"/>
      <c r="B19" s="424"/>
      <c r="C19" s="484" t="s">
        <v>449</v>
      </c>
      <c r="D19" s="116">
        <f t="shared" ref="D19:D50" si="0">VLOOKUP(CONCATENATE("period_",$C19),Assets_Daten,3,0)</f>
        <v>492643112.41999847</v>
      </c>
      <c r="E19" s="461"/>
      <c r="F19" s="484" t="s">
        <v>450</v>
      </c>
      <c r="G19" s="116">
        <f t="shared" ref="G19:G50" si="1">VLOOKUP(CONCATENATE("period_",$F19),Assets_Daten,3,0)</f>
        <v>111188371.15000001</v>
      </c>
      <c r="H19" s="461"/>
      <c r="I19" s="468"/>
      <c r="J19" s="478"/>
      <c r="K19" s="478"/>
      <c r="L19" s="433"/>
      <c r="M19" s="468"/>
    </row>
    <row r="20" spans="1:13" ht="13">
      <c r="A20" s="424"/>
      <c r="B20" s="424"/>
      <c r="C20" s="484" t="s">
        <v>451</v>
      </c>
      <c r="D20" s="116">
        <f t="shared" si="0"/>
        <v>484943989.5</v>
      </c>
      <c r="E20" s="485"/>
      <c r="F20" s="484" t="s">
        <v>452</v>
      </c>
      <c r="G20" s="116">
        <f t="shared" si="1"/>
        <v>104209088.54000001</v>
      </c>
      <c r="H20" s="461"/>
      <c r="I20" s="484"/>
      <c r="J20" s="486"/>
      <c r="K20" s="478"/>
      <c r="L20" s="433"/>
      <c r="M20" s="468"/>
    </row>
    <row r="21" spans="1:13" ht="13">
      <c r="A21" s="424"/>
      <c r="B21" s="424"/>
      <c r="C21" s="484" t="s">
        <v>453</v>
      </c>
      <c r="D21" s="116">
        <f t="shared" si="0"/>
        <v>477225551.5</v>
      </c>
      <c r="E21" s="461"/>
      <c r="F21" s="484" t="s">
        <v>454</v>
      </c>
      <c r="G21" s="116">
        <f t="shared" si="1"/>
        <v>97271944.560000002</v>
      </c>
      <c r="H21" s="461"/>
      <c r="I21" s="484"/>
      <c r="J21" s="486"/>
      <c r="K21" s="432"/>
      <c r="L21" s="433"/>
      <c r="M21" s="468"/>
    </row>
    <row r="22" spans="1:13" ht="13">
      <c r="A22" s="424"/>
      <c r="B22" s="424"/>
      <c r="C22" s="484" t="s">
        <v>455</v>
      </c>
      <c r="D22" s="116">
        <f t="shared" si="0"/>
        <v>469502507.29000002</v>
      </c>
      <c r="E22" s="481"/>
      <c r="F22" s="484" t="s">
        <v>456</v>
      </c>
      <c r="G22" s="116">
        <f t="shared" si="1"/>
        <v>90430737.920000002</v>
      </c>
      <c r="H22" s="454"/>
      <c r="I22" s="484"/>
      <c r="J22" s="486"/>
      <c r="K22" s="487"/>
      <c r="L22" s="482"/>
      <c r="M22" s="488"/>
    </row>
    <row r="23" spans="1:13" ht="13">
      <c r="A23" s="424"/>
      <c r="B23" s="424"/>
      <c r="C23" s="484" t="s">
        <v>457</v>
      </c>
      <c r="D23" s="116">
        <f t="shared" si="0"/>
        <v>461762198.27999997</v>
      </c>
      <c r="E23" s="461"/>
      <c r="F23" s="484" t="s">
        <v>458</v>
      </c>
      <c r="G23" s="116">
        <f t="shared" si="1"/>
        <v>83718324.230000004</v>
      </c>
      <c r="H23" s="461"/>
      <c r="I23" s="484"/>
      <c r="J23" s="486"/>
      <c r="K23" s="478"/>
      <c r="L23" s="433"/>
      <c r="M23" s="489"/>
    </row>
    <row r="24" spans="1:13" ht="13">
      <c r="A24" s="424"/>
      <c r="B24" s="424"/>
      <c r="C24" s="484" t="s">
        <v>459</v>
      </c>
      <c r="D24" s="116">
        <f t="shared" si="0"/>
        <v>454011014.85000002</v>
      </c>
      <c r="E24" s="461"/>
      <c r="F24" s="484" t="s">
        <v>460</v>
      </c>
      <c r="G24" s="116">
        <f t="shared" si="1"/>
        <v>77172353.189999998</v>
      </c>
      <c r="H24" s="461"/>
      <c r="I24" s="484"/>
      <c r="J24" s="486"/>
      <c r="K24" s="478"/>
      <c r="L24" s="433"/>
      <c r="M24" s="468"/>
    </row>
    <row r="25" spans="1:13" ht="13">
      <c r="A25" s="424"/>
      <c r="B25" s="424"/>
      <c r="C25" s="484" t="s">
        <v>461</v>
      </c>
      <c r="D25" s="116">
        <f t="shared" si="0"/>
        <v>446262607.74000001</v>
      </c>
      <c r="E25" s="485"/>
      <c r="F25" s="484" t="s">
        <v>462</v>
      </c>
      <c r="G25" s="116">
        <f t="shared" si="1"/>
        <v>70795306.239999995</v>
      </c>
      <c r="H25" s="461"/>
      <c r="I25" s="484"/>
      <c r="J25" s="486"/>
      <c r="K25" s="478"/>
      <c r="L25" s="433"/>
      <c r="M25" s="468"/>
    </row>
    <row r="26" spans="1:13" ht="13">
      <c r="A26" s="424"/>
      <c r="B26" s="424"/>
      <c r="C26" s="484" t="s">
        <v>463</v>
      </c>
      <c r="D26" s="116">
        <f t="shared" si="0"/>
        <v>438516763.31999999</v>
      </c>
      <c r="E26" s="461"/>
      <c r="F26" s="484" t="s">
        <v>464</v>
      </c>
      <c r="G26" s="116">
        <f t="shared" si="1"/>
        <v>64668059.270000003</v>
      </c>
      <c r="H26" s="461"/>
      <c r="I26" s="484"/>
      <c r="J26" s="486"/>
      <c r="K26" s="432"/>
      <c r="L26" s="433"/>
      <c r="M26" s="468"/>
    </row>
    <row r="27" spans="1:13" ht="13">
      <c r="A27" s="424"/>
      <c r="B27" s="424"/>
      <c r="C27" s="484" t="s">
        <v>465</v>
      </c>
      <c r="D27" s="116">
        <f t="shared" si="0"/>
        <v>430777231.06</v>
      </c>
      <c r="E27" s="481"/>
      <c r="F27" s="484" t="s">
        <v>466</v>
      </c>
      <c r="G27" s="116">
        <f t="shared" si="1"/>
        <v>58714051.979999997</v>
      </c>
      <c r="H27" s="454"/>
      <c r="I27" s="484"/>
      <c r="J27" s="486"/>
      <c r="K27" s="432"/>
      <c r="L27" s="433"/>
      <c r="M27" s="488"/>
    </row>
    <row r="28" spans="1:13" ht="13">
      <c r="A28" s="424"/>
      <c r="B28" s="424"/>
      <c r="C28" s="484" t="s">
        <v>467</v>
      </c>
      <c r="D28" s="116">
        <f t="shared" si="0"/>
        <v>423053253.29000002</v>
      </c>
      <c r="E28" s="461"/>
      <c r="F28" s="484" t="s">
        <v>468</v>
      </c>
      <c r="G28" s="116">
        <f t="shared" si="1"/>
        <v>52943409.43</v>
      </c>
      <c r="H28" s="461"/>
      <c r="I28" s="484"/>
      <c r="J28" s="486"/>
      <c r="K28" s="478"/>
      <c r="L28" s="433"/>
      <c r="M28" s="489"/>
    </row>
    <row r="29" spans="1:13" ht="13">
      <c r="A29" s="424"/>
      <c r="B29" s="424"/>
      <c r="C29" s="484" t="s">
        <v>469</v>
      </c>
      <c r="D29" s="116">
        <f t="shared" si="0"/>
        <v>415317675.44999999</v>
      </c>
      <c r="E29" s="461"/>
      <c r="F29" s="484" t="s">
        <v>470</v>
      </c>
      <c r="G29" s="116">
        <f t="shared" si="1"/>
        <v>47423136.159999996</v>
      </c>
      <c r="H29" s="461"/>
      <c r="I29" s="484"/>
      <c r="J29" s="486"/>
      <c r="K29" s="478"/>
      <c r="L29" s="433"/>
      <c r="M29" s="468"/>
    </row>
    <row r="30" spans="1:13" ht="13">
      <c r="A30" s="424"/>
      <c r="B30" s="424"/>
      <c r="C30" s="484" t="s">
        <v>471</v>
      </c>
      <c r="D30" s="116">
        <f t="shared" si="0"/>
        <v>407575422.13</v>
      </c>
      <c r="E30" s="485"/>
      <c r="F30" s="484" t="s">
        <v>472</v>
      </c>
      <c r="G30" s="116">
        <f t="shared" si="1"/>
        <v>42129297.759999998</v>
      </c>
      <c r="H30" s="461"/>
      <c r="I30" s="484"/>
      <c r="J30" s="486"/>
      <c r="K30" s="478"/>
      <c r="L30" s="433"/>
      <c r="M30" s="468"/>
    </row>
    <row r="31" spans="1:13" ht="13">
      <c r="A31" s="424"/>
      <c r="B31" s="424"/>
      <c r="C31" s="484" t="s">
        <v>473</v>
      </c>
      <c r="D31" s="116">
        <f t="shared" si="0"/>
        <v>399815462.29000002</v>
      </c>
      <c r="E31" s="461"/>
      <c r="F31" s="484" t="s">
        <v>474</v>
      </c>
      <c r="G31" s="116">
        <f t="shared" si="1"/>
        <v>37053771.5</v>
      </c>
      <c r="H31" s="461"/>
      <c r="I31" s="484"/>
      <c r="J31" s="486"/>
      <c r="K31" s="432"/>
      <c r="L31" s="433"/>
      <c r="M31" s="468"/>
    </row>
    <row r="32" spans="1:13" ht="13">
      <c r="A32" s="424"/>
      <c r="B32" s="424"/>
      <c r="C32" s="484" t="s">
        <v>475</v>
      </c>
      <c r="D32" s="116">
        <f t="shared" si="0"/>
        <v>392038819.25</v>
      </c>
      <c r="E32" s="490"/>
      <c r="F32" s="484" t="s">
        <v>476</v>
      </c>
      <c r="G32" s="116">
        <f t="shared" si="1"/>
        <v>32244706.780000001</v>
      </c>
      <c r="H32" s="484"/>
      <c r="I32" s="484"/>
      <c r="J32" s="486"/>
      <c r="K32" s="432"/>
      <c r="L32" s="433"/>
      <c r="M32" s="468"/>
    </row>
    <row r="33" spans="1:13" ht="13">
      <c r="A33" s="424"/>
      <c r="B33" s="424"/>
      <c r="C33" s="484" t="s">
        <v>477</v>
      </c>
      <c r="D33" s="116">
        <f t="shared" si="0"/>
        <v>384254591.31</v>
      </c>
      <c r="E33" s="484"/>
      <c r="F33" s="484" t="s">
        <v>478</v>
      </c>
      <c r="G33" s="116">
        <f t="shared" si="1"/>
        <v>27606448.710000001</v>
      </c>
      <c r="H33" s="484"/>
      <c r="I33" s="484"/>
      <c r="J33" s="486"/>
      <c r="K33" s="478"/>
      <c r="L33" s="433"/>
      <c r="M33" s="468"/>
    </row>
    <row r="34" spans="1:13" ht="13">
      <c r="A34" s="424"/>
      <c r="B34" s="424"/>
      <c r="C34" s="484" t="s">
        <v>479</v>
      </c>
      <c r="D34" s="116">
        <f t="shared" si="0"/>
        <v>376469643.67000002</v>
      </c>
      <c r="E34" s="484"/>
      <c r="F34" s="484" t="s">
        <v>480</v>
      </c>
      <c r="G34" s="116">
        <f t="shared" si="1"/>
        <v>23323975.879999999</v>
      </c>
      <c r="H34" s="484"/>
      <c r="I34" s="484"/>
      <c r="J34" s="486"/>
      <c r="K34" s="478"/>
      <c r="L34" s="433"/>
      <c r="M34" s="468"/>
    </row>
    <row r="35" spans="1:13" ht="13">
      <c r="A35" s="424"/>
      <c r="B35" s="424"/>
      <c r="C35" s="484" t="s">
        <v>481</v>
      </c>
      <c r="D35" s="116">
        <f t="shared" si="0"/>
        <v>368671655.98000002</v>
      </c>
      <c r="E35" s="491"/>
      <c r="F35" s="484" t="s">
        <v>482</v>
      </c>
      <c r="G35" s="116">
        <f t="shared" si="1"/>
        <v>19505588.350000001</v>
      </c>
      <c r="H35" s="484"/>
      <c r="I35" s="484"/>
      <c r="J35" s="486"/>
      <c r="K35" s="478"/>
      <c r="L35" s="433"/>
      <c r="M35" s="468"/>
    </row>
    <row r="36" spans="1:13" ht="13">
      <c r="A36" s="424"/>
      <c r="B36" s="424"/>
      <c r="C36" s="484" t="s">
        <v>483</v>
      </c>
      <c r="D36" s="116">
        <f t="shared" si="0"/>
        <v>360880270.69999999</v>
      </c>
      <c r="E36" s="484"/>
      <c r="F36" s="484" t="s">
        <v>484</v>
      </c>
      <c r="G36" s="116">
        <f t="shared" si="1"/>
        <v>16165393.550000001</v>
      </c>
      <c r="H36" s="484"/>
      <c r="I36" s="484"/>
      <c r="J36" s="486"/>
      <c r="K36" s="432"/>
      <c r="L36" s="433"/>
      <c r="M36" s="468"/>
    </row>
    <row r="37" spans="1:13" ht="13">
      <c r="A37" s="424"/>
      <c r="B37" s="424"/>
      <c r="C37" s="484" t="s">
        <v>485</v>
      </c>
      <c r="D37" s="116">
        <f t="shared" si="0"/>
        <v>353091881.77999997</v>
      </c>
      <c r="E37" s="490"/>
      <c r="F37" s="484" t="s">
        <v>486</v>
      </c>
      <c r="G37" s="116">
        <f t="shared" si="1"/>
        <v>13348552.960000001</v>
      </c>
      <c r="H37" s="484"/>
      <c r="I37" s="484"/>
      <c r="J37" s="486"/>
      <c r="K37" s="432"/>
      <c r="L37" s="433"/>
      <c r="M37" s="468"/>
    </row>
    <row r="38" spans="1:13" ht="13">
      <c r="A38" s="424"/>
      <c r="B38" s="424"/>
      <c r="C38" s="484" t="s">
        <v>487</v>
      </c>
      <c r="D38" s="116">
        <f t="shared" si="0"/>
        <v>345313594.06999999</v>
      </c>
      <c r="E38" s="484"/>
      <c r="F38" s="484" t="s">
        <v>488</v>
      </c>
      <c r="G38" s="116">
        <f t="shared" si="1"/>
        <v>11273189.699999999</v>
      </c>
      <c r="H38" s="484"/>
      <c r="I38" s="484"/>
      <c r="J38" s="464"/>
      <c r="K38" s="478"/>
      <c r="L38" s="433"/>
      <c r="M38" s="468"/>
    </row>
    <row r="39" spans="1:13" ht="13">
      <c r="A39" s="424"/>
      <c r="B39" s="424"/>
      <c r="C39" s="484" t="s">
        <v>489</v>
      </c>
      <c r="D39" s="116">
        <f t="shared" si="0"/>
        <v>337550938.57999998</v>
      </c>
      <c r="E39" s="484"/>
      <c r="F39" s="484" t="s">
        <v>490</v>
      </c>
      <c r="G39" s="116">
        <f t="shared" si="1"/>
        <v>9470197.5399999991</v>
      </c>
      <c r="H39" s="484"/>
      <c r="I39" s="484"/>
      <c r="J39" s="464"/>
      <c r="K39" s="478"/>
      <c r="L39" s="433"/>
      <c r="M39" s="468"/>
    </row>
    <row r="40" spans="1:13" ht="13">
      <c r="A40" s="424"/>
      <c r="B40" s="424"/>
      <c r="C40" s="484" t="s">
        <v>491</v>
      </c>
      <c r="D40" s="116">
        <f t="shared" si="0"/>
        <v>329816174.31999999</v>
      </c>
      <c r="E40" s="491"/>
      <c r="F40" s="484" t="s">
        <v>492</v>
      </c>
      <c r="G40" s="116">
        <f t="shared" si="1"/>
        <v>7911780.9199999999</v>
      </c>
      <c r="H40" s="484"/>
      <c r="I40" s="484"/>
      <c r="J40" s="464"/>
      <c r="K40" s="478"/>
      <c r="L40" s="433"/>
      <c r="M40" s="468"/>
    </row>
    <row r="41" spans="1:13" ht="13">
      <c r="A41" s="424"/>
      <c r="B41" s="424"/>
      <c r="C41" s="484" t="s">
        <v>493</v>
      </c>
      <c r="D41" s="116">
        <f t="shared" si="0"/>
        <v>322078612.79000002</v>
      </c>
      <c r="E41" s="492"/>
      <c r="F41" s="484" t="s">
        <v>494</v>
      </c>
      <c r="G41" s="116">
        <f t="shared" si="1"/>
        <v>6545613.1100000003</v>
      </c>
      <c r="H41" s="461"/>
      <c r="I41" s="484"/>
      <c r="J41" s="464"/>
      <c r="K41" s="464"/>
      <c r="L41" s="424"/>
    </row>
    <row r="42" spans="1:13" ht="13">
      <c r="A42" s="424"/>
      <c r="B42" s="424"/>
      <c r="C42" s="484" t="s">
        <v>495</v>
      </c>
      <c r="D42" s="116">
        <f t="shared" si="0"/>
        <v>314344422.27999997</v>
      </c>
      <c r="E42" s="461"/>
      <c r="F42" s="484" t="s">
        <v>496</v>
      </c>
      <c r="G42" s="116">
        <f t="shared" si="1"/>
        <v>5362126.03</v>
      </c>
      <c r="H42" s="461"/>
      <c r="I42" s="484"/>
      <c r="J42" s="464"/>
      <c r="K42" s="464"/>
      <c r="L42" s="424"/>
    </row>
    <row r="43" spans="1:13" ht="13">
      <c r="A43" s="424"/>
      <c r="B43" s="424"/>
      <c r="C43" s="484" t="s">
        <v>497</v>
      </c>
      <c r="D43" s="116">
        <f t="shared" si="0"/>
        <v>306610194.13999999</v>
      </c>
      <c r="E43" s="492"/>
      <c r="F43" s="484" t="s">
        <v>498</v>
      </c>
      <c r="G43" s="116">
        <f t="shared" si="1"/>
        <v>4345663.9000000004</v>
      </c>
      <c r="H43" s="492"/>
      <c r="I43" s="484"/>
      <c r="J43" s="464"/>
      <c r="K43" s="464"/>
      <c r="L43" s="424"/>
    </row>
    <row r="44" spans="1:13" ht="13">
      <c r="A44" s="424"/>
      <c r="B44" s="424"/>
      <c r="C44" s="484" t="s">
        <v>499</v>
      </c>
      <c r="D44" s="116">
        <f t="shared" si="0"/>
        <v>298876532.32999998</v>
      </c>
      <c r="E44" s="461"/>
      <c r="F44" s="484" t="s">
        <v>500</v>
      </c>
      <c r="G44" s="116">
        <f t="shared" si="1"/>
        <v>3481283.01</v>
      </c>
      <c r="H44" s="461"/>
      <c r="I44" s="484"/>
      <c r="J44" s="464"/>
      <c r="K44" s="464"/>
      <c r="L44" s="424"/>
    </row>
    <row r="45" spans="1:13" ht="13">
      <c r="A45" s="424"/>
      <c r="B45" s="424"/>
      <c r="C45" s="484" t="s">
        <v>501</v>
      </c>
      <c r="D45" s="116">
        <f t="shared" si="0"/>
        <v>291147706.98000002</v>
      </c>
      <c r="E45" s="461"/>
      <c r="F45" s="484" t="s">
        <v>502</v>
      </c>
      <c r="G45" s="116">
        <f t="shared" si="1"/>
        <v>2694100.94</v>
      </c>
      <c r="H45" s="461"/>
      <c r="I45" s="484"/>
      <c r="J45" s="464"/>
      <c r="K45" s="464"/>
      <c r="L45" s="424"/>
    </row>
    <row r="46" spans="1:13" ht="13">
      <c r="A46" s="424"/>
      <c r="B46" s="424"/>
      <c r="C46" s="484" t="s">
        <v>503</v>
      </c>
      <c r="D46" s="116">
        <f t="shared" si="0"/>
        <v>283419346.33999997</v>
      </c>
      <c r="E46" s="461"/>
      <c r="F46" s="484" t="s">
        <v>504</v>
      </c>
      <c r="G46" s="116">
        <f t="shared" si="1"/>
        <v>1995642.77</v>
      </c>
      <c r="H46" s="461"/>
      <c r="I46" s="484"/>
      <c r="J46" s="464"/>
      <c r="K46" s="464"/>
      <c r="L46" s="424"/>
    </row>
    <row r="47" spans="1:13" ht="13">
      <c r="A47" s="424"/>
      <c r="B47" s="424"/>
      <c r="C47" s="484" t="s">
        <v>505</v>
      </c>
      <c r="D47" s="116">
        <f t="shared" si="0"/>
        <v>275685408.98000002</v>
      </c>
      <c r="E47" s="461"/>
      <c r="F47" s="484" t="s">
        <v>506</v>
      </c>
      <c r="G47" s="116">
        <f t="shared" si="1"/>
        <v>1395835.75</v>
      </c>
      <c r="H47" s="461"/>
      <c r="I47" s="484"/>
      <c r="J47" s="464"/>
      <c r="K47" s="464"/>
      <c r="L47" s="424"/>
    </row>
    <row r="48" spans="1:13" ht="13">
      <c r="A48" s="424"/>
      <c r="B48" s="424"/>
      <c r="C48" s="484" t="s">
        <v>507</v>
      </c>
      <c r="D48" s="116">
        <f t="shared" si="0"/>
        <v>267959218.28</v>
      </c>
      <c r="E48" s="461"/>
      <c r="F48" s="484" t="s">
        <v>508</v>
      </c>
      <c r="G48" s="116">
        <f t="shared" si="1"/>
        <v>983976.95</v>
      </c>
      <c r="H48" s="461"/>
      <c r="I48" s="484"/>
      <c r="J48" s="464"/>
      <c r="K48" s="464"/>
      <c r="L48" s="424"/>
    </row>
    <row r="49" spans="1:12" ht="13">
      <c r="A49" s="424"/>
      <c r="B49" s="424"/>
      <c r="C49" s="484" t="s">
        <v>509</v>
      </c>
      <c r="D49" s="116">
        <f t="shared" si="0"/>
        <v>260253766.12</v>
      </c>
      <c r="E49" s="461"/>
      <c r="F49" s="484" t="s">
        <v>510</v>
      </c>
      <c r="G49" s="116">
        <f t="shared" si="1"/>
        <v>730975.75</v>
      </c>
      <c r="H49" s="461"/>
      <c r="I49" s="461"/>
      <c r="J49" s="493"/>
      <c r="K49" s="464"/>
      <c r="L49" s="424"/>
    </row>
    <row r="50" spans="1:12" ht="13">
      <c r="A50" s="424"/>
      <c r="B50" s="424"/>
      <c r="C50" s="484" t="s">
        <v>511</v>
      </c>
      <c r="D50" s="116">
        <f t="shared" si="0"/>
        <v>252578463.63999999</v>
      </c>
      <c r="E50" s="461"/>
      <c r="F50" s="484" t="s">
        <v>512</v>
      </c>
      <c r="G50" s="116">
        <f t="shared" si="1"/>
        <v>569770.53</v>
      </c>
      <c r="H50" s="461"/>
      <c r="I50" s="461"/>
      <c r="J50" s="493"/>
      <c r="K50" s="464"/>
      <c r="L50" s="424"/>
    </row>
    <row r="51" spans="1:12" ht="13">
      <c r="A51" s="424"/>
      <c r="B51" s="424"/>
      <c r="C51" s="484" t="s">
        <v>513</v>
      </c>
      <c r="D51" s="116">
        <f t="shared" ref="D51:D68" si="2">VLOOKUP(CONCATENATE("period_",$C51),Assets_Daten,3,0)</f>
        <v>244927258.05000001</v>
      </c>
      <c r="E51" s="461"/>
      <c r="F51" s="484" t="s">
        <v>514</v>
      </c>
      <c r="G51" s="116">
        <f t="shared" ref="G51:G68" si="3">VLOOKUP(CONCATENATE("period_",$F51),Assets_Daten,3,0)</f>
        <v>442862</v>
      </c>
      <c r="H51" s="461"/>
      <c r="I51" s="461"/>
      <c r="J51" s="493"/>
      <c r="K51" s="464"/>
      <c r="L51" s="424"/>
    </row>
    <row r="52" spans="1:12" ht="13">
      <c r="A52" s="424"/>
      <c r="B52" s="424"/>
      <c r="C52" s="484" t="s">
        <v>515</v>
      </c>
      <c r="D52" s="116">
        <f t="shared" si="2"/>
        <v>237313528.53999999</v>
      </c>
      <c r="E52" s="461"/>
      <c r="F52" s="484" t="s">
        <v>516</v>
      </c>
      <c r="G52" s="116">
        <f t="shared" si="3"/>
        <v>339051.93</v>
      </c>
      <c r="H52" s="461"/>
      <c r="I52" s="461"/>
      <c r="J52" s="493"/>
      <c r="K52" s="464"/>
      <c r="L52" s="424"/>
    </row>
    <row r="53" spans="1:12" ht="13">
      <c r="A53" s="424"/>
      <c r="B53" s="424"/>
      <c r="C53" s="484" t="s">
        <v>517</v>
      </c>
      <c r="D53" s="116">
        <f t="shared" si="2"/>
        <v>229706173.09</v>
      </c>
      <c r="E53" s="461"/>
      <c r="F53" s="484" t="s">
        <v>518</v>
      </c>
      <c r="G53" s="116">
        <f t="shared" si="3"/>
        <v>255880.38</v>
      </c>
      <c r="H53" s="461"/>
      <c r="I53" s="461"/>
      <c r="J53" s="493"/>
      <c r="K53" s="464"/>
      <c r="L53" s="424"/>
    </row>
    <row r="54" spans="1:12" ht="13">
      <c r="A54" s="424"/>
      <c r="B54" s="424"/>
      <c r="C54" s="484" t="s">
        <v>519</v>
      </c>
      <c r="D54" s="116">
        <f t="shared" si="2"/>
        <v>222107632.78999999</v>
      </c>
      <c r="E54" s="461"/>
      <c r="F54" s="484" t="s">
        <v>520</v>
      </c>
      <c r="G54" s="116">
        <f t="shared" si="3"/>
        <v>189364.17</v>
      </c>
      <c r="H54" s="461"/>
      <c r="I54" s="461"/>
      <c r="J54" s="493"/>
      <c r="K54" s="464"/>
      <c r="L54" s="424"/>
    </row>
    <row r="55" spans="1:12" ht="13">
      <c r="A55" s="424"/>
      <c r="B55" s="424"/>
      <c r="C55" s="484" t="s">
        <v>521</v>
      </c>
      <c r="D55" s="116">
        <f t="shared" si="2"/>
        <v>214513270.47</v>
      </c>
      <c r="E55" s="461"/>
      <c r="F55" s="484" t="s">
        <v>522</v>
      </c>
      <c r="G55" s="116">
        <f t="shared" si="3"/>
        <v>142514.09</v>
      </c>
      <c r="H55" s="461"/>
      <c r="I55" s="461"/>
      <c r="J55" s="493"/>
      <c r="K55" s="464"/>
      <c r="L55" s="424"/>
    </row>
    <row r="56" spans="1:12" ht="13">
      <c r="A56" s="424"/>
      <c r="B56" s="424"/>
      <c r="C56" s="484" t="s">
        <v>523</v>
      </c>
      <c r="D56" s="116">
        <f t="shared" si="2"/>
        <v>206925326.94999999</v>
      </c>
      <c r="E56" s="461"/>
      <c r="F56" s="484" t="s">
        <v>524</v>
      </c>
      <c r="G56" s="116">
        <f t="shared" si="3"/>
        <v>106478.76</v>
      </c>
      <c r="H56" s="461"/>
      <c r="I56" s="461"/>
      <c r="J56" s="493"/>
      <c r="K56" s="464"/>
      <c r="L56" s="424"/>
    </row>
    <row r="57" spans="1:12" ht="13">
      <c r="A57" s="424"/>
      <c r="B57" s="424"/>
      <c r="C57" s="484" t="s">
        <v>525</v>
      </c>
      <c r="D57" s="116">
        <f t="shared" si="2"/>
        <v>199357397.36000001</v>
      </c>
      <c r="E57" s="461"/>
      <c r="F57" s="484" t="s">
        <v>526</v>
      </c>
      <c r="G57" s="116">
        <f t="shared" si="3"/>
        <v>81285.490000000005</v>
      </c>
      <c r="H57" s="461"/>
      <c r="I57" s="461"/>
      <c r="J57" s="493"/>
      <c r="K57" s="464"/>
      <c r="L57" s="424"/>
    </row>
    <row r="58" spans="1:12" ht="13">
      <c r="A58" s="424"/>
      <c r="B58" s="424"/>
      <c r="C58" s="484" t="s">
        <v>527</v>
      </c>
      <c r="D58" s="116">
        <f t="shared" si="2"/>
        <v>191800361.69999999</v>
      </c>
      <c r="E58" s="461"/>
      <c r="F58" s="484" t="s">
        <v>528</v>
      </c>
      <c r="G58" s="116">
        <f t="shared" si="3"/>
        <v>61425.37</v>
      </c>
      <c r="H58" s="461"/>
      <c r="I58" s="461"/>
      <c r="J58" s="493"/>
      <c r="K58" s="464"/>
      <c r="L58" s="424"/>
    </row>
    <row r="59" spans="1:12" ht="13">
      <c r="A59" s="424"/>
      <c r="B59" s="424"/>
      <c r="C59" s="484" t="s">
        <v>529</v>
      </c>
      <c r="D59" s="116">
        <f t="shared" si="2"/>
        <v>184253813.22999999</v>
      </c>
      <c r="E59" s="461"/>
      <c r="F59" s="484" t="s">
        <v>530</v>
      </c>
      <c r="G59" s="116">
        <f t="shared" si="3"/>
        <v>46423.34</v>
      </c>
      <c r="H59" s="461"/>
      <c r="I59" s="461"/>
      <c r="J59" s="493"/>
      <c r="K59" s="464"/>
      <c r="L59" s="424"/>
    </row>
    <row r="60" spans="1:12" ht="13">
      <c r="A60" s="424"/>
      <c r="B60" s="424"/>
      <c r="C60" s="484" t="s">
        <v>531</v>
      </c>
      <c r="D60" s="116">
        <f t="shared" si="2"/>
        <v>176724932</v>
      </c>
      <c r="E60" s="461"/>
      <c r="F60" s="484" t="s">
        <v>532</v>
      </c>
      <c r="G60" s="116">
        <f t="shared" si="3"/>
        <v>37528.230000000003</v>
      </c>
      <c r="H60" s="461"/>
      <c r="I60" s="461"/>
      <c r="J60" s="493"/>
      <c r="K60" s="464"/>
      <c r="L60" s="424"/>
    </row>
    <row r="61" spans="1:12" ht="13">
      <c r="A61" s="424"/>
      <c r="B61" s="424"/>
      <c r="C61" s="484" t="s">
        <v>533</v>
      </c>
      <c r="D61" s="116">
        <f t="shared" si="2"/>
        <v>169234464.22999999</v>
      </c>
      <c r="E61" s="461"/>
      <c r="F61" s="484" t="s">
        <v>534</v>
      </c>
      <c r="G61" s="116">
        <f t="shared" si="3"/>
        <v>31098.75</v>
      </c>
      <c r="H61" s="461"/>
      <c r="I61" s="461"/>
      <c r="J61" s="493"/>
      <c r="K61" s="464"/>
      <c r="L61" s="424"/>
    </row>
    <row r="62" spans="1:12" ht="13">
      <c r="A62" s="424"/>
      <c r="B62" s="424"/>
      <c r="C62" s="484" t="s">
        <v>535</v>
      </c>
      <c r="D62" s="116">
        <f t="shared" si="2"/>
        <v>161788726.65000001</v>
      </c>
      <c r="E62" s="461"/>
      <c r="F62" s="484" t="s">
        <v>536</v>
      </c>
      <c r="G62" s="116">
        <f t="shared" si="3"/>
        <v>25304.39</v>
      </c>
      <c r="H62" s="461"/>
      <c r="I62" s="461"/>
      <c r="J62" s="493"/>
      <c r="K62" s="464"/>
      <c r="L62" s="424"/>
    </row>
    <row r="63" spans="1:12" ht="13">
      <c r="A63" s="424"/>
      <c r="B63" s="424"/>
      <c r="C63" s="484" t="s">
        <v>537</v>
      </c>
      <c r="D63" s="116">
        <f t="shared" si="2"/>
        <v>154408856.69999999</v>
      </c>
      <c r="E63" s="461"/>
      <c r="F63" s="484" t="s">
        <v>538</v>
      </c>
      <c r="G63" s="116">
        <f t="shared" si="3"/>
        <v>20451.47</v>
      </c>
      <c r="H63" s="461"/>
      <c r="I63" s="461"/>
      <c r="J63" s="493"/>
      <c r="K63" s="464"/>
      <c r="L63" s="424"/>
    </row>
    <row r="64" spans="1:12" ht="13">
      <c r="A64" s="424"/>
      <c r="B64" s="424"/>
      <c r="C64" s="484" t="s">
        <v>539</v>
      </c>
      <c r="D64" s="116">
        <f t="shared" si="2"/>
        <v>147108120.53999999</v>
      </c>
      <c r="E64" s="461"/>
      <c r="F64" s="484" t="s">
        <v>540</v>
      </c>
      <c r="G64" s="116">
        <f t="shared" si="3"/>
        <v>17326.97</v>
      </c>
      <c r="H64" s="461"/>
      <c r="I64" s="461"/>
      <c r="J64" s="493"/>
      <c r="K64" s="464"/>
      <c r="L64" s="424"/>
    </row>
    <row r="65" spans="1:12" ht="13">
      <c r="A65" s="424"/>
      <c r="B65" s="424"/>
      <c r="C65" s="484" t="s">
        <v>541</v>
      </c>
      <c r="D65" s="116">
        <f t="shared" si="2"/>
        <v>139835284.16999999</v>
      </c>
      <c r="E65" s="461"/>
      <c r="F65" s="484" t="s">
        <v>542</v>
      </c>
      <c r="G65" s="116">
        <f t="shared" si="3"/>
        <v>14178.76</v>
      </c>
      <c r="H65" s="461"/>
      <c r="I65" s="461"/>
      <c r="J65" s="493"/>
      <c r="K65" s="464"/>
      <c r="L65" s="424"/>
    </row>
    <row r="66" spans="1:12" ht="13">
      <c r="A66" s="424"/>
      <c r="B66" s="424"/>
      <c r="C66" s="484" t="s">
        <v>543</v>
      </c>
      <c r="D66" s="116">
        <f t="shared" si="2"/>
        <v>132591284.81</v>
      </c>
      <c r="E66" s="461"/>
      <c r="F66" s="484" t="s">
        <v>544</v>
      </c>
      <c r="G66" s="116">
        <f t="shared" si="3"/>
        <v>11208.7</v>
      </c>
      <c r="H66" s="461"/>
      <c r="I66" s="461"/>
      <c r="J66" s="493"/>
      <c r="K66" s="464"/>
      <c r="L66" s="424"/>
    </row>
    <row r="67" spans="1:12" ht="13">
      <c r="A67" s="424"/>
      <c r="B67" s="424"/>
      <c r="C67" s="484" t="s">
        <v>545</v>
      </c>
      <c r="D67" s="116">
        <f t="shared" si="2"/>
        <v>125395631.40000001</v>
      </c>
      <c r="E67" s="461"/>
      <c r="F67" s="484" t="s">
        <v>546</v>
      </c>
      <c r="G67" s="116">
        <f t="shared" si="3"/>
        <v>9329.57</v>
      </c>
      <c r="H67" s="461"/>
      <c r="I67" s="461"/>
      <c r="J67" s="493"/>
      <c r="K67" s="464"/>
      <c r="L67" s="424"/>
    </row>
    <row r="68" spans="1:12" ht="13">
      <c r="A68" s="424"/>
      <c r="B68" s="424"/>
      <c r="C68" s="484">
        <v>50</v>
      </c>
      <c r="D68" s="116">
        <f t="shared" si="2"/>
        <v>118253431.20999999</v>
      </c>
      <c r="E68" s="461"/>
      <c r="F68" s="484">
        <v>100</v>
      </c>
      <c r="G68" s="116">
        <f t="shared" si="3"/>
        <v>7438.75</v>
      </c>
      <c r="H68" s="461"/>
      <c r="I68" s="461"/>
      <c r="J68" s="493"/>
      <c r="K68" s="464"/>
      <c r="L68" s="424"/>
    </row>
    <row r="69" spans="1:12">
      <c r="A69" s="424"/>
      <c r="B69" s="494"/>
      <c r="C69" s="495"/>
      <c r="D69" s="495"/>
      <c r="E69" s="495"/>
      <c r="F69" s="495"/>
      <c r="G69" s="495"/>
      <c r="H69" s="495"/>
      <c r="I69" s="495"/>
      <c r="J69" s="496"/>
      <c r="K69" s="464"/>
      <c r="L69" s="424"/>
    </row>
    <row r="70" spans="1:12">
      <c r="A70" s="494"/>
      <c r="B70" s="495"/>
      <c r="C70" s="495"/>
      <c r="D70" s="495"/>
      <c r="E70" s="495"/>
      <c r="F70" s="495"/>
      <c r="G70" s="495"/>
      <c r="H70" s="495"/>
      <c r="I70" s="495"/>
      <c r="J70" s="495"/>
      <c r="K70" s="496"/>
      <c r="L70" s="424"/>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2271"/>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2.1796875" style="124" customWidth="1"/>
    <col min="3" max="3" width="72.1796875" style="124" customWidth="1"/>
    <col min="4" max="4" width="17.1796875" style="420" customWidth="1"/>
    <col min="5" max="5" width="17.1796875" style="124" customWidth="1"/>
    <col min="6" max="6" width="11.81640625" style="124" customWidth="1"/>
    <col min="7" max="7" width="15.81640625" style="124" customWidth="1"/>
    <col min="8" max="8" width="12" style="124" customWidth="1"/>
    <col min="9" max="9" width="17.1796875" style="124" customWidth="1"/>
    <col min="10" max="10" width="12" style="124" customWidth="1"/>
    <col min="11" max="11" width="48.81640625" style="124" customWidth="1"/>
    <col min="12" max="12" width="12" style="124" customWidth="1"/>
    <col min="13" max="13" width="17.1796875" style="124" customWidth="1"/>
    <col min="14" max="14" width="12" style="124" customWidth="1"/>
    <col min="15" max="15" width="15.1796875" style="124" customWidth="1"/>
    <col min="16" max="16" width="12" style="124" customWidth="1"/>
    <col min="17" max="17" width="17.1796875" style="124" customWidth="1"/>
    <col min="18" max="18" width="12" style="124" customWidth="1"/>
    <col min="19" max="19" width="7.81640625" style="124" customWidth="1"/>
    <col min="20" max="20" width="1.1796875" style="124" customWidth="1"/>
    <col min="21" max="16384" width="9.1796875" style="124"/>
  </cols>
  <sheetData>
    <row r="1" spans="1:20" ht="6" customHeight="1">
      <c r="A1" s="180"/>
      <c r="B1" s="47"/>
      <c r="C1" s="47"/>
      <c r="D1" s="395"/>
      <c r="E1" s="47"/>
      <c r="F1" s="47"/>
      <c r="G1" s="47"/>
      <c r="H1" s="47"/>
      <c r="I1" s="47"/>
      <c r="J1" s="47"/>
      <c r="K1" s="47"/>
      <c r="L1" s="47"/>
      <c r="M1" s="47"/>
      <c r="N1" s="47"/>
      <c r="O1" s="47"/>
      <c r="P1" s="47"/>
      <c r="Q1" s="47"/>
      <c r="R1" s="47"/>
      <c r="S1" s="47"/>
      <c r="T1" s="181"/>
    </row>
    <row r="2" spans="1:20" s="105" customFormat="1" ht="18">
      <c r="A2" s="133"/>
      <c r="B2" s="123"/>
      <c r="C2" s="134" t="str">
        <f>'Cover Sheet'!B2</f>
        <v>SC Germany Consumer 2023-1</v>
      </c>
      <c r="D2" s="135" t="str">
        <f>'Cover Sheet'!D2</f>
        <v>Calculation Date</v>
      </c>
      <c r="E2" s="136"/>
      <c r="F2" s="137">
        <f>'Cover Sheet'!F2</f>
        <v>45973</v>
      </c>
      <c r="G2" s="136"/>
      <c r="H2" s="136"/>
      <c r="I2" s="136"/>
      <c r="J2" s="138"/>
      <c r="K2" s="123"/>
      <c r="L2" s="123"/>
      <c r="M2" s="123"/>
      <c r="N2" s="123"/>
      <c r="O2" s="123"/>
      <c r="P2" s="123"/>
      <c r="Q2" s="123"/>
      <c r="R2" s="123"/>
      <c r="S2" s="123"/>
      <c r="T2" s="383"/>
    </row>
    <row r="3" spans="1:20" s="105" customFormat="1" ht="18">
      <c r="A3" s="133"/>
      <c r="B3" s="123"/>
      <c r="C3" s="134" t="str">
        <f>'Cover Sheet'!B3</f>
        <v>Monthly Investor Report</v>
      </c>
      <c r="D3" s="141" t="str">
        <f>'Cover Sheet'!D3</f>
        <v>Payment Date</v>
      </c>
      <c r="E3" s="142"/>
      <c r="F3" s="143">
        <f>'Cover Sheet'!F3</f>
        <v>45975</v>
      </c>
      <c r="G3" s="142"/>
      <c r="H3" s="142"/>
      <c r="I3" s="142"/>
      <c r="J3" s="144"/>
      <c r="K3" s="123"/>
      <c r="L3" s="123"/>
      <c r="M3" s="123"/>
      <c r="N3" s="123"/>
      <c r="O3" s="123"/>
      <c r="P3" s="123"/>
      <c r="Q3" s="123"/>
      <c r="R3" s="123"/>
      <c r="S3" s="123"/>
      <c r="T3" s="154"/>
    </row>
    <row r="4" spans="1:20" s="105" customFormat="1" ht="13">
      <c r="A4" s="133"/>
      <c r="B4" s="123"/>
      <c r="C4" s="184"/>
      <c r="D4" s="141" t="str">
        <f>'Cover Sheet'!D4</f>
        <v>Period  No</v>
      </c>
      <c r="E4" s="142"/>
      <c r="F4" s="146">
        <f>'Cover Sheet'!F4</f>
        <v>27</v>
      </c>
      <c r="G4" s="142"/>
      <c r="H4" s="147"/>
      <c r="I4" s="147"/>
      <c r="J4" s="148"/>
      <c r="K4" s="123"/>
      <c r="L4" s="123"/>
      <c r="M4" s="123"/>
      <c r="N4" s="123"/>
      <c r="O4" s="123"/>
      <c r="P4" s="123"/>
      <c r="Q4" s="123"/>
      <c r="R4" s="123"/>
      <c r="S4" s="123"/>
      <c r="T4" s="383"/>
    </row>
    <row r="5" spans="1:20" s="105" customFormat="1" ht="18">
      <c r="A5" s="133"/>
      <c r="B5" s="123"/>
      <c r="C5" s="187" t="s">
        <v>374</v>
      </c>
      <c r="D5" s="141" t="str">
        <f>'Cover Sheet'!D5</f>
        <v>Monthly Period</v>
      </c>
      <c r="E5" s="142"/>
      <c r="F5" s="150">
        <f>'Cover Sheet'!F5</f>
        <v>45975</v>
      </c>
      <c r="G5" s="142"/>
      <c r="H5" s="147"/>
      <c r="I5" s="147"/>
      <c r="J5" s="148"/>
      <c r="K5" s="123"/>
      <c r="L5" s="123"/>
      <c r="M5" s="123"/>
      <c r="N5" s="123"/>
      <c r="O5" s="123"/>
      <c r="P5" s="123"/>
      <c r="Q5" s="123"/>
      <c r="R5" s="123"/>
      <c r="S5" s="123"/>
      <c r="T5" s="154"/>
    </row>
    <row r="6" spans="1:20" s="105" customFormat="1" ht="15" customHeight="1">
      <c r="A6" s="133"/>
      <c r="B6" s="123"/>
      <c r="C6" s="151"/>
      <c r="D6" s="141" t="str">
        <f>'Cover Sheet'!D6</f>
        <v>Interest Period</v>
      </c>
      <c r="E6" s="150" t="s">
        <v>34</v>
      </c>
      <c r="F6" s="143">
        <f>'Cover Sheet'!F6</f>
        <v>45944</v>
      </c>
      <c r="G6" s="152" t="str">
        <f>'Cover Sheet'!G6</f>
        <v>to</v>
      </c>
      <c r="H6" s="143">
        <f>'Cover Sheet'!H6</f>
        <v>45975</v>
      </c>
      <c r="I6" s="143" t="str">
        <f>'Cover Sheet'!I6</f>
        <v>=</v>
      </c>
      <c r="J6" s="396" t="str">
        <f>'Cover Sheet'!J6</f>
        <v>31 days</v>
      </c>
      <c r="K6" s="123"/>
      <c r="L6" s="123"/>
      <c r="M6" s="123"/>
      <c r="N6" s="123"/>
      <c r="O6" s="123"/>
      <c r="P6" s="123"/>
      <c r="Q6" s="123"/>
      <c r="R6" s="123"/>
      <c r="S6" s="123"/>
      <c r="T6" s="154"/>
    </row>
    <row r="7" spans="1:20" s="105" customFormat="1" ht="13">
      <c r="A7" s="133"/>
      <c r="B7" s="123"/>
      <c r="C7" s="123"/>
      <c r="D7" s="156" t="str">
        <f>'Cover Sheet'!D7</f>
        <v>Collection Period</v>
      </c>
      <c r="E7" s="157" t="s">
        <v>34</v>
      </c>
      <c r="F7" s="158" t="str">
        <f>'Cover Sheet'!F7</f>
        <v>01.10.2025</v>
      </c>
      <c r="G7" s="157" t="str">
        <f>'Cover Sheet'!G7</f>
        <v>to</v>
      </c>
      <c r="H7" s="158">
        <f>'Cover Sheet'!H7</f>
        <v>45961</v>
      </c>
      <c r="I7" s="158"/>
      <c r="J7" s="192"/>
      <c r="K7" s="123"/>
      <c r="L7" s="123"/>
      <c r="M7" s="123"/>
      <c r="N7" s="123"/>
      <c r="O7" s="123"/>
      <c r="P7" s="123"/>
      <c r="Q7" s="123"/>
      <c r="R7" s="123"/>
      <c r="S7" s="123"/>
      <c r="T7" s="154"/>
    </row>
    <row r="8" spans="1:20" s="105" customFormat="1" ht="13">
      <c r="A8" s="133"/>
      <c r="B8" s="123"/>
      <c r="C8" s="123"/>
      <c r="D8" s="185"/>
      <c r="E8" s="123"/>
      <c r="F8" s="163"/>
      <c r="G8" s="162"/>
      <c r="H8" s="163"/>
      <c r="I8" s="123"/>
      <c r="J8" s="123"/>
      <c r="K8" s="123"/>
      <c r="L8" s="123"/>
      <c r="M8" s="193"/>
      <c r="N8" s="193"/>
      <c r="O8" s="193"/>
      <c r="P8" s="193"/>
      <c r="Q8" s="193"/>
      <c r="R8" s="123"/>
      <c r="S8" s="123"/>
      <c r="T8" s="154"/>
    </row>
    <row r="9" spans="1:20" s="105" customFormat="1">
      <c r="A9" s="133"/>
      <c r="B9" s="123"/>
      <c r="C9" s="123"/>
      <c r="D9" s="185"/>
      <c r="E9" s="123"/>
      <c r="F9" s="123"/>
      <c r="G9" s="123"/>
      <c r="H9" s="123"/>
      <c r="I9" s="123"/>
      <c r="J9" s="123"/>
      <c r="K9" s="123"/>
      <c r="L9" s="123"/>
      <c r="M9" s="123"/>
      <c r="N9" s="123"/>
      <c r="O9" s="123"/>
      <c r="P9" s="123"/>
      <c r="Q9" s="123"/>
      <c r="R9" s="123"/>
      <c r="S9" s="123"/>
      <c r="T9" s="139"/>
    </row>
    <row r="10" spans="1:20" s="105" customFormat="1">
      <c r="A10" s="133"/>
      <c r="B10" s="123"/>
      <c r="C10" s="123"/>
      <c r="D10" s="185"/>
      <c r="E10" s="19"/>
      <c r="F10" s="123"/>
      <c r="G10" s="129"/>
      <c r="H10" s="123"/>
      <c r="I10" s="123"/>
      <c r="J10" s="123"/>
      <c r="K10" s="123"/>
      <c r="L10" s="123"/>
      <c r="M10" s="19"/>
      <c r="N10" s="19"/>
      <c r="O10" s="19"/>
      <c r="P10" s="19"/>
      <c r="Q10" s="19"/>
      <c r="R10" s="19"/>
      <c r="S10" s="19"/>
      <c r="T10" s="139"/>
    </row>
    <row r="11" spans="1:20" s="105" customFormat="1" ht="18">
      <c r="A11" s="133"/>
      <c r="B11" s="123"/>
      <c r="C11" s="195"/>
      <c r="D11" s="185"/>
      <c r="E11" s="19"/>
      <c r="F11" s="134"/>
      <c r="G11" s="123"/>
      <c r="H11" s="45"/>
      <c r="I11" s="385"/>
      <c r="J11" s="385"/>
      <c r="K11" s="385"/>
      <c r="L11" s="385"/>
      <c r="M11" s="19"/>
      <c r="N11" s="19"/>
      <c r="O11" s="19"/>
      <c r="P11" s="19"/>
      <c r="Q11" s="19"/>
      <c r="R11" s="123"/>
      <c r="S11" s="123"/>
      <c r="T11" s="139"/>
    </row>
    <row r="12" spans="1:20" s="105" customFormat="1">
      <c r="A12" s="133"/>
      <c r="B12" s="123"/>
      <c r="C12" s="123"/>
      <c r="D12" s="115"/>
      <c r="E12" s="19"/>
      <c r="F12" s="123"/>
      <c r="G12" s="123"/>
      <c r="H12" s="123"/>
      <c r="I12" s="123"/>
      <c r="J12" s="123"/>
      <c r="K12" s="123"/>
      <c r="L12" s="123"/>
      <c r="M12" s="123"/>
      <c r="N12" s="123"/>
      <c r="O12" s="123"/>
      <c r="P12" s="123"/>
      <c r="Q12" s="123"/>
      <c r="R12" s="123"/>
      <c r="S12" s="123"/>
      <c r="T12" s="139"/>
    </row>
    <row r="13" spans="1:20" s="105" customFormat="1" ht="18">
      <c r="A13" s="133"/>
      <c r="B13" s="134" t="s">
        <v>363</v>
      </c>
      <c r="C13" s="134"/>
      <c r="D13" s="115"/>
      <c r="E13" s="19"/>
      <c r="F13" s="123"/>
      <c r="G13" s="134"/>
      <c r="H13" s="123"/>
      <c r="I13" s="134" t="s">
        <v>364</v>
      </c>
      <c r="J13" s="123"/>
      <c r="K13" s="123"/>
      <c r="L13" s="123"/>
      <c r="M13" s="123"/>
      <c r="N13" s="123"/>
      <c r="O13" s="123"/>
      <c r="P13" s="123"/>
      <c r="Q13" s="123"/>
      <c r="R13" s="123"/>
      <c r="S13" s="123"/>
      <c r="T13" s="139"/>
    </row>
    <row r="14" spans="1:20" s="105" customFormat="1" ht="10.5" customHeight="1">
      <c r="A14" s="133"/>
      <c r="B14" s="130"/>
      <c r="C14" s="131"/>
      <c r="D14" s="395"/>
      <c r="E14" s="47"/>
      <c r="F14" s="131"/>
      <c r="G14" s="131"/>
      <c r="H14" s="131"/>
      <c r="I14" s="131"/>
      <c r="J14" s="131"/>
      <c r="K14" s="131"/>
      <c r="L14" s="131"/>
      <c r="M14" s="131"/>
      <c r="N14" s="131"/>
      <c r="O14" s="131"/>
      <c r="P14" s="131"/>
      <c r="Q14" s="131"/>
      <c r="R14" s="131"/>
      <c r="S14" s="132"/>
      <c r="T14" s="139"/>
    </row>
    <row r="15" spans="1:20" s="105" customFormat="1" ht="13.5" customHeight="1">
      <c r="A15" s="133"/>
      <c r="B15" s="133"/>
      <c r="C15" s="123" t="s">
        <v>225</v>
      </c>
      <c r="D15" s="115" t="s">
        <v>226</v>
      </c>
      <c r="E15" s="906">
        <f>VLOOKUP("Interest_collections",calcdata,2,0)</f>
        <v>3068945.66</v>
      </c>
      <c r="F15" s="19"/>
      <c r="G15" s="123"/>
      <c r="H15" s="123"/>
      <c r="I15" s="398" t="s">
        <v>311</v>
      </c>
      <c r="J15" s="398"/>
      <c r="K15" s="398"/>
      <c r="L15" s="185" t="s">
        <v>226</v>
      </c>
      <c r="M15" s="397">
        <f>VLOOKUP("Principal_collections",calcdata,2,0)</f>
        <v>15066770.550000001</v>
      </c>
      <c r="N15" s="123"/>
      <c r="O15" s="123"/>
      <c r="P15" s="123"/>
      <c r="Q15" s="123"/>
      <c r="R15" s="123"/>
      <c r="S15" s="139"/>
      <c r="T15" s="139"/>
    </row>
    <row r="16" spans="1:20" ht="13.5" customHeight="1">
      <c r="A16" s="206"/>
      <c r="B16" s="133"/>
      <c r="C16" s="123" t="s">
        <v>399</v>
      </c>
      <c r="D16" s="115" t="s">
        <v>226</v>
      </c>
      <c r="E16" s="906">
        <f>VLOOKUP("Other_interest_Payments",calcdata,2,0)</f>
        <v>0</v>
      </c>
      <c r="F16" s="19"/>
      <c r="G16" s="123"/>
      <c r="H16" s="123"/>
      <c r="I16" s="398" t="s">
        <v>791</v>
      </c>
      <c r="J16" s="398"/>
      <c r="K16" s="398"/>
      <c r="L16" s="185" t="s">
        <v>226</v>
      </c>
      <c r="M16" s="397">
        <f>VLOOKUP("Other_Principal_amount",calcdata,2,0)</f>
        <v>0</v>
      </c>
      <c r="N16" s="123"/>
      <c r="O16" s="123"/>
      <c r="P16" s="123"/>
      <c r="Q16" s="123"/>
      <c r="R16" s="123"/>
      <c r="S16" s="139"/>
      <c r="T16" s="200"/>
    </row>
    <row r="17" spans="1:20" ht="13.5" customHeight="1">
      <c r="A17" s="206"/>
      <c r="B17" s="133"/>
      <c r="C17" s="123" t="s">
        <v>560</v>
      </c>
      <c r="D17" s="115" t="s">
        <v>226</v>
      </c>
      <c r="E17" s="906">
        <f>VLOOKUP("Recoveries_received",calcdata,2,0)</f>
        <v>50973.52</v>
      </c>
      <c r="F17" s="19"/>
      <c r="G17" s="123"/>
      <c r="H17" s="123"/>
      <c r="I17" s="398" t="s">
        <v>400</v>
      </c>
      <c r="J17" s="398"/>
      <c r="K17" s="398"/>
      <c r="L17" s="185" t="s">
        <v>226</v>
      </c>
      <c r="M17" s="397">
        <f>VLOOKUP("Final_Repurchase_Price",calcdata,2,0)</f>
        <v>0</v>
      </c>
      <c r="N17" s="123"/>
      <c r="O17" s="123"/>
      <c r="P17" s="123"/>
      <c r="Q17" s="123"/>
      <c r="R17" s="123"/>
      <c r="S17" s="139"/>
      <c r="T17" s="200"/>
    </row>
    <row r="18" spans="1:20" ht="13.5" customHeight="1">
      <c r="A18" s="206"/>
      <c r="B18" s="133"/>
      <c r="C18" s="123" t="s">
        <v>561</v>
      </c>
      <c r="D18" s="115" t="s">
        <v>226</v>
      </c>
      <c r="E18" s="906">
        <f>VLOOKUP("Interests_earned_Transaction_Purchase_Shortfall_Account",calcdata,2,0)</f>
        <v>0</v>
      </c>
      <c r="F18" s="123"/>
      <c r="G18" s="123"/>
      <c r="H18" s="123"/>
      <c r="I18" s="398" t="s">
        <v>401</v>
      </c>
      <c r="J18" s="398"/>
      <c r="K18" s="398"/>
      <c r="L18" s="185" t="s">
        <v>226</v>
      </c>
      <c r="M18" s="397">
        <f>VLOOKUP("Amounts_credit_Com_Reserve_Account",calcdata,2,0)</f>
        <v>0</v>
      </c>
      <c r="N18" s="123"/>
      <c r="O18" s="123"/>
      <c r="P18" s="123"/>
      <c r="Q18" s="123"/>
      <c r="R18" s="123"/>
      <c r="S18" s="139"/>
      <c r="T18" s="200"/>
    </row>
    <row r="19" spans="1:20" ht="13.5" customHeight="1">
      <c r="A19" s="206"/>
      <c r="B19" s="133"/>
      <c r="C19" s="19" t="s">
        <v>562</v>
      </c>
      <c r="D19" s="115" t="s">
        <v>226</v>
      </c>
      <c r="E19" s="906">
        <f>VLOOKUP("Amounts_ComReserve_Account",calcdata,2,0)</f>
        <v>0</v>
      </c>
      <c r="F19" s="123"/>
      <c r="G19" s="123"/>
      <c r="H19" s="123"/>
      <c r="I19" s="398" t="s">
        <v>567</v>
      </c>
      <c r="J19" s="398"/>
      <c r="K19" s="398"/>
      <c r="L19" s="185" t="s">
        <v>226</v>
      </c>
      <c r="M19" s="397">
        <f>VLOOKUP("Amounts_credit_SettOff_Reserve_Account",calcdata,2,0)</f>
        <v>0</v>
      </c>
      <c r="N19" s="123"/>
      <c r="O19" s="123"/>
      <c r="P19" s="123"/>
      <c r="Q19" s="123"/>
      <c r="R19" s="123"/>
      <c r="S19" s="139"/>
      <c r="T19" s="200"/>
    </row>
    <row r="20" spans="1:20" ht="13.5" customHeight="1">
      <c r="A20" s="206"/>
      <c r="B20" s="133"/>
      <c r="C20" s="123" t="s">
        <v>563</v>
      </c>
      <c r="D20" s="115" t="s">
        <v>226</v>
      </c>
      <c r="E20" s="906">
        <f>VLOOKUP("Amounts_Liqudity_Reserve_Account",calcdata,2,0)</f>
        <v>5118197.6100000003</v>
      </c>
      <c r="F20" s="123"/>
      <c r="G20" s="123"/>
      <c r="H20" s="123"/>
      <c r="I20" s="398" t="s">
        <v>771</v>
      </c>
      <c r="J20" s="398"/>
      <c r="K20" s="398"/>
      <c r="L20" s="185" t="s">
        <v>226</v>
      </c>
      <c r="M20" s="397">
        <f>VLOOKUP("Amounts_credit_Purchase_Shortfall_Account",calcdata,2,0)</f>
        <v>33.36</v>
      </c>
      <c r="N20" s="123"/>
      <c r="O20" s="123"/>
      <c r="P20" s="123"/>
      <c r="Q20" s="123"/>
      <c r="R20" s="123"/>
      <c r="S20" s="139"/>
      <c r="T20" s="200"/>
    </row>
    <row r="21" spans="1:20" ht="13.5" customHeight="1">
      <c r="A21" s="206"/>
      <c r="B21" s="133"/>
      <c r="C21" s="123" t="s">
        <v>564</v>
      </c>
      <c r="D21" s="115" t="s">
        <v>226</v>
      </c>
      <c r="E21" s="906">
        <f>VLOOKUP("Interests_paid_Swap_Counterparty",calcdata,2,0)</f>
        <v>0</v>
      </c>
      <c r="F21" s="123"/>
      <c r="G21" s="123"/>
      <c r="H21" s="123"/>
      <c r="I21" s="935" t="s">
        <v>402</v>
      </c>
      <c r="J21" s="398"/>
      <c r="K21" s="398"/>
      <c r="L21" s="185" t="s">
        <v>226</v>
      </c>
      <c r="M21" s="397">
        <f>VLOOKUP("Mezzanine_loan_disbursement",calcdata,2,0)</f>
        <v>0</v>
      </c>
      <c r="N21" s="123"/>
      <c r="O21" s="123"/>
      <c r="P21" s="123"/>
      <c r="Q21" s="123"/>
      <c r="R21" s="123"/>
      <c r="S21" s="139"/>
      <c r="T21" s="200"/>
    </row>
    <row r="22" spans="1:20" ht="13.5" customHeight="1">
      <c r="A22" s="206"/>
      <c r="B22" s="133"/>
      <c r="C22" s="124" t="s">
        <v>770</v>
      </c>
      <c r="D22" s="115" t="s">
        <v>226</v>
      </c>
      <c r="E22" s="906">
        <f>VLOOKUP("Principal_addition_amounts",calcdata,2,0)</f>
        <v>0</v>
      </c>
      <c r="F22" s="123"/>
      <c r="G22" s="123"/>
      <c r="H22" s="123"/>
      <c r="I22" s="398" t="s">
        <v>403</v>
      </c>
      <c r="J22" s="398"/>
      <c r="K22" s="398"/>
      <c r="L22" s="185" t="s">
        <v>226</v>
      </c>
      <c r="M22" s="397">
        <f>VLOOKUP("PDL",calcdata,2,0)</f>
        <v>1272532.6499999999</v>
      </c>
      <c r="N22" s="123"/>
      <c r="O22" s="123"/>
      <c r="P22" s="123"/>
      <c r="Q22" s="123"/>
      <c r="R22" s="123"/>
      <c r="S22" s="139"/>
      <c r="T22" s="200"/>
    </row>
    <row r="23" spans="1:20" ht="13.5" customHeight="1" thickBot="1">
      <c r="A23" s="206"/>
      <c r="B23" s="133"/>
      <c r="C23" s="123" t="s">
        <v>566</v>
      </c>
      <c r="D23" s="115" t="s">
        <v>226</v>
      </c>
      <c r="E23" s="906">
        <f>VLOOKUP("Other_amounts_paid_Interests",calcdata,2,0)</f>
        <v>0</v>
      </c>
      <c r="F23" s="123"/>
      <c r="G23" s="123"/>
      <c r="H23" s="123"/>
      <c r="I23" s="944" t="s">
        <v>566</v>
      </c>
      <c r="J23" s="398"/>
      <c r="K23" s="398"/>
      <c r="L23" s="185" t="s">
        <v>226</v>
      </c>
      <c r="M23" s="943">
        <f>VLOOKUP("Other_amounts_paid_Principal",calcdata,2,0)</f>
        <v>0</v>
      </c>
      <c r="N23" s="123"/>
      <c r="O23" s="123"/>
      <c r="P23" s="123"/>
      <c r="Q23" s="123"/>
      <c r="R23" s="123"/>
      <c r="S23" s="139"/>
      <c r="T23" s="200"/>
    </row>
    <row r="24" spans="1:20" ht="13.5" customHeight="1" thickTop="1" thickBot="1">
      <c r="A24" s="206"/>
      <c r="B24" s="133"/>
      <c r="C24" s="936" t="s">
        <v>565</v>
      </c>
      <c r="D24" s="115" t="s">
        <v>226</v>
      </c>
      <c r="E24" s="947">
        <f>VLOOKUP("Remaining_PreEnforcement_available_Principal_amount",calcdata,2,0)</f>
        <v>0</v>
      </c>
      <c r="F24" s="936"/>
      <c r="G24" s="936"/>
      <c r="H24" s="936"/>
      <c r="I24" s="398" t="s">
        <v>224</v>
      </c>
      <c r="J24" s="938"/>
      <c r="K24" s="938"/>
      <c r="L24" s="185" t="s">
        <v>15</v>
      </c>
      <c r="M24" s="397">
        <f>VLOOKUP("Available_Principal_amount",calcdata,2,0)</f>
        <v>16339336.560000001</v>
      </c>
      <c r="N24" s="936"/>
      <c r="O24" s="936"/>
      <c r="P24" s="936"/>
      <c r="Q24" s="936"/>
      <c r="R24" s="936"/>
      <c r="S24" s="139"/>
      <c r="T24" s="200"/>
    </row>
    <row r="25" spans="1:20" ht="13.5" customHeight="1" thickTop="1">
      <c r="A25" s="206"/>
      <c r="B25" s="133"/>
      <c r="C25" s="123" t="s">
        <v>223</v>
      </c>
      <c r="D25" s="115" t="s">
        <v>15</v>
      </c>
      <c r="E25" s="907">
        <f>VLOOKUP("Available_Interest_amount",calcdata,2,0)</f>
        <v>8238116.79</v>
      </c>
      <c r="F25" s="123"/>
      <c r="G25" s="123"/>
      <c r="H25" s="123"/>
      <c r="J25" s="398"/>
      <c r="K25" s="398"/>
      <c r="N25" s="123"/>
      <c r="O25" s="123"/>
      <c r="P25" s="123"/>
      <c r="Q25" s="123"/>
      <c r="R25" s="123"/>
      <c r="S25" s="139"/>
      <c r="T25" s="200"/>
    </row>
    <row r="26" spans="1:20" ht="13.5" customHeight="1">
      <c r="A26" s="206"/>
      <c r="B26" s="133"/>
      <c r="C26" s="123"/>
      <c r="D26" s="115"/>
      <c r="E26" s="400"/>
      <c r="F26" s="123"/>
      <c r="G26" s="123"/>
      <c r="H26" s="123"/>
      <c r="I26" s="398"/>
      <c r="J26" s="398"/>
      <c r="K26" s="398"/>
      <c r="L26" s="185"/>
      <c r="M26" s="400"/>
      <c r="N26" s="123"/>
      <c r="O26" s="123"/>
      <c r="P26" s="123"/>
      <c r="Q26" s="123"/>
      <c r="R26" s="123"/>
      <c r="S26" s="139"/>
      <c r="T26" s="200"/>
    </row>
    <row r="27" spans="1:20">
      <c r="A27" s="206"/>
      <c r="B27" s="173"/>
      <c r="C27" s="175" t="s">
        <v>588</v>
      </c>
      <c r="D27" s="401"/>
      <c r="E27" s="54"/>
      <c r="F27" s="175"/>
      <c r="G27" s="175"/>
      <c r="H27" s="175"/>
      <c r="I27" s="175"/>
      <c r="J27" s="175"/>
      <c r="K27" s="175"/>
      <c r="L27" s="402"/>
      <c r="M27" s="175"/>
      <c r="N27" s="175"/>
      <c r="O27" s="175"/>
      <c r="P27" s="175"/>
      <c r="Q27" s="175"/>
      <c r="R27" s="175"/>
      <c r="S27" s="176"/>
      <c r="T27" s="200"/>
    </row>
    <row r="28" spans="1:20">
      <c r="A28" s="206"/>
      <c r="B28" s="123"/>
      <c r="C28" s="123"/>
      <c r="D28" s="115"/>
      <c r="E28" s="19"/>
      <c r="F28" s="123"/>
      <c r="G28" s="123"/>
      <c r="H28" s="123"/>
      <c r="I28" s="123"/>
      <c r="J28" s="123"/>
      <c r="K28" s="123"/>
      <c r="L28" s="185"/>
      <c r="M28" s="123"/>
      <c r="N28" s="123"/>
      <c r="O28" s="123"/>
      <c r="P28" s="123"/>
      <c r="Q28" s="123"/>
      <c r="R28" s="123"/>
      <c r="S28" s="123"/>
      <c r="T28" s="200"/>
    </row>
    <row r="29" spans="1:20" ht="18">
      <c r="A29" s="206"/>
      <c r="B29" s="134" t="s">
        <v>382</v>
      </c>
      <c r="C29" s="134"/>
      <c r="D29" s="115"/>
      <c r="E29" s="238"/>
      <c r="F29" s="238"/>
      <c r="G29" s="134"/>
      <c r="H29" s="198"/>
      <c r="I29" s="134" t="s">
        <v>383</v>
      </c>
      <c r="J29" s="198"/>
      <c r="K29" s="198"/>
      <c r="L29" s="403"/>
      <c r="M29" s="199"/>
      <c r="N29" s="199"/>
      <c r="O29" s="199"/>
      <c r="P29" s="199"/>
      <c r="Q29" s="199"/>
      <c r="R29" s="199"/>
      <c r="S29" s="19"/>
      <c r="T29" s="200"/>
    </row>
    <row r="30" spans="1:20" ht="10.5" customHeight="1">
      <c r="A30" s="206"/>
      <c r="B30" s="130"/>
      <c r="C30" s="404"/>
      <c r="D30" s="395"/>
      <c r="E30" s="405"/>
      <c r="F30" s="405"/>
      <c r="G30" s="406"/>
      <c r="H30" s="407"/>
      <c r="I30" s="406"/>
      <c r="J30" s="407"/>
      <c r="K30" s="407"/>
      <c r="L30" s="408"/>
      <c r="M30" s="409"/>
      <c r="N30" s="409"/>
      <c r="O30" s="409"/>
      <c r="P30" s="409"/>
      <c r="Q30" s="409"/>
      <c r="R30" s="409"/>
      <c r="S30" s="181"/>
      <c r="T30" s="200"/>
    </row>
    <row r="31" spans="1:20" ht="13.5" customHeight="1">
      <c r="A31" s="206"/>
      <c r="B31" s="133"/>
      <c r="C31" s="92" t="s">
        <v>223</v>
      </c>
      <c r="D31" s="92"/>
      <c r="E31" s="400">
        <f>VLOOKUP("Available_Interest_amount",calcdata,2,0)</f>
        <v>8238116.79</v>
      </c>
      <c r="F31" s="309"/>
      <c r="G31" s="19"/>
      <c r="H31" s="310"/>
      <c r="I31" s="398" t="s">
        <v>224</v>
      </c>
      <c r="J31" s="398"/>
      <c r="K31" s="398"/>
      <c r="L31" s="311"/>
      <c r="M31" s="400">
        <f>VLOOKUP("Available_Principal_amount",calcdata,2,0)</f>
        <v>16339336.560000001</v>
      </c>
      <c r="N31" s="198"/>
      <c r="O31" s="198"/>
      <c r="P31" s="198"/>
      <c r="Q31" s="198"/>
      <c r="R31" s="198"/>
      <c r="S31" s="200"/>
      <c r="T31" s="200"/>
    </row>
    <row r="32" spans="1:20" ht="14.15" customHeight="1">
      <c r="A32" s="206"/>
      <c r="B32" s="206"/>
      <c r="C32" s="92" t="s">
        <v>293</v>
      </c>
      <c r="D32" s="93" t="s">
        <v>35</v>
      </c>
      <c r="E32" s="400">
        <f>VLOOKUP("Senior_Expenses",calcdata,2,0)</f>
        <v>181.82</v>
      </c>
      <c r="F32" s="313"/>
      <c r="G32" s="19"/>
      <c r="H32" s="315"/>
      <c r="I32" s="398" t="s">
        <v>294</v>
      </c>
      <c r="J32" s="398"/>
      <c r="K32" s="398"/>
      <c r="L32" s="314" t="s">
        <v>35</v>
      </c>
      <c r="M32" s="400">
        <f>VLOOKUP("Addition_amounts",calcdata,2,0)</f>
        <v>0</v>
      </c>
      <c r="N32" s="245"/>
      <c r="O32" s="245"/>
      <c r="P32" s="245"/>
      <c r="Q32" s="245"/>
      <c r="R32" s="245"/>
      <c r="S32" s="200"/>
      <c r="T32" s="200"/>
    </row>
    <row r="33" spans="1:20" ht="14.15" customHeight="1">
      <c r="A33" s="206"/>
      <c r="B33" s="206"/>
      <c r="C33" s="92" t="s">
        <v>772</v>
      </c>
      <c r="D33" s="93" t="s">
        <v>35</v>
      </c>
      <c r="E33" s="400">
        <f>VLOOKUP("Replacement_servicer_fee_reserve",calcdata,2,0)</f>
        <v>0</v>
      </c>
      <c r="F33" s="313"/>
      <c r="G33" s="19"/>
      <c r="H33" s="315"/>
      <c r="I33" s="398" t="s">
        <v>384</v>
      </c>
      <c r="J33" s="398"/>
      <c r="K33" s="398"/>
      <c r="L33" s="420" t="s">
        <v>15</v>
      </c>
      <c r="M33" s="400">
        <f>VLOOKUP("Net_note_available_Principal_Proceeds",calcdata,2,0)</f>
        <v>16339336.560000001</v>
      </c>
      <c r="N33" s="245"/>
      <c r="O33" s="245"/>
      <c r="P33" s="245"/>
      <c r="Q33" s="245"/>
      <c r="R33" s="245"/>
      <c r="S33" s="200"/>
      <c r="T33" s="200"/>
    </row>
    <row r="34" spans="1:20" ht="14.15" customHeight="1">
      <c r="A34" s="206"/>
      <c r="B34" s="206"/>
      <c r="C34" s="19" t="s">
        <v>295</v>
      </c>
      <c r="D34" s="93" t="s">
        <v>35</v>
      </c>
      <c r="E34" s="400">
        <f>VLOOKUP("Swap_payment",calcdata,2,0)</f>
        <v>540120.64</v>
      </c>
      <c r="F34" s="313"/>
      <c r="G34" s="19"/>
      <c r="H34" s="315"/>
      <c r="I34" s="398" t="s">
        <v>228</v>
      </c>
      <c r="J34" s="398"/>
      <c r="K34" s="398"/>
      <c r="L34" s="314" t="s">
        <v>35</v>
      </c>
      <c r="M34" s="400">
        <f>VLOOKUP("Replenishment",calcdata,2,0)</f>
        <v>0</v>
      </c>
      <c r="N34" s="245"/>
      <c r="O34" s="245"/>
      <c r="P34" s="245"/>
      <c r="Q34" s="245"/>
      <c r="R34" s="245"/>
      <c r="S34" s="200"/>
      <c r="T34" s="200"/>
    </row>
    <row r="35" spans="1:20" ht="14.15" customHeight="1">
      <c r="A35" s="206"/>
      <c r="B35" s="206"/>
      <c r="C35" s="92" t="s">
        <v>227</v>
      </c>
      <c r="D35" s="93" t="s">
        <v>35</v>
      </c>
      <c r="E35" s="400">
        <f>VLOOKUP("A_interest_amount_notes",calcdata,2,0)</f>
        <v>841238.96</v>
      </c>
      <c r="F35" s="313"/>
      <c r="G35" s="19"/>
      <c r="H35" s="315"/>
      <c r="I35" s="398" t="s">
        <v>137</v>
      </c>
      <c r="J35" s="398"/>
      <c r="K35" s="398"/>
      <c r="L35" s="314" t="s">
        <v>35</v>
      </c>
      <c r="M35" s="400">
        <f>VLOOKUP("Purchase_Shortfall",calcdata,2,0)</f>
        <v>0</v>
      </c>
      <c r="N35" s="245"/>
      <c r="O35" s="245"/>
      <c r="P35" s="245"/>
      <c r="Q35" s="245"/>
      <c r="R35" s="245"/>
      <c r="S35" s="200"/>
      <c r="T35" s="200"/>
    </row>
    <row r="36" spans="1:20" ht="13.5" customHeight="1">
      <c r="A36" s="206"/>
      <c r="B36" s="206"/>
      <c r="C36" s="92" t="s">
        <v>585</v>
      </c>
      <c r="D36" s="93" t="s">
        <v>35</v>
      </c>
      <c r="E36" s="400">
        <f>VLOOKUP("B_interest_amount_notes",calcdata,2,0)</f>
        <v>83316</v>
      </c>
      <c r="F36" s="313"/>
      <c r="G36" s="19"/>
      <c r="H36" s="315"/>
      <c r="I36" s="398" t="s">
        <v>385</v>
      </c>
      <c r="J36" s="398"/>
      <c r="K36" s="398"/>
      <c r="L36" s="314" t="s">
        <v>35</v>
      </c>
      <c r="M36" s="400">
        <f>VLOOKUP("A_prorata_Principal",calcdata,2,0)</f>
        <v>0</v>
      </c>
      <c r="N36" s="245"/>
      <c r="O36" s="245"/>
      <c r="P36" s="245"/>
      <c r="Q36" s="245"/>
      <c r="R36" s="245"/>
      <c r="S36" s="200"/>
      <c r="T36" s="200"/>
    </row>
    <row r="37" spans="1:20" ht="13.5" customHeight="1">
      <c r="A37" s="206"/>
      <c r="B37" s="206"/>
      <c r="C37" s="92" t="s">
        <v>296</v>
      </c>
      <c r="D37" s="93" t="s">
        <v>35</v>
      </c>
      <c r="E37" s="400">
        <f>VLOOKUP("C_interest_amount_notes",calcdata,2,0)</f>
        <v>117583.67999999999</v>
      </c>
      <c r="F37" s="313"/>
      <c r="G37" s="19"/>
      <c r="H37" s="315"/>
      <c r="I37" s="398" t="s">
        <v>386</v>
      </c>
      <c r="J37" s="398"/>
      <c r="K37" s="398"/>
      <c r="L37" s="314" t="s">
        <v>35</v>
      </c>
      <c r="M37" s="400">
        <f>VLOOKUP("B_prorata_Principal",calcdata,2,0)</f>
        <v>0</v>
      </c>
      <c r="N37" s="245"/>
      <c r="O37" s="245"/>
      <c r="P37" s="245"/>
      <c r="Q37" s="245"/>
      <c r="R37" s="245"/>
      <c r="S37" s="200"/>
      <c r="T37" s="200"/>
    </row>
    <row r="38" spans="1:20" ht="13.5" customHeight="1">
      <c r="A38" s="206"/>
      <c r="B38" s="206"/>
      <c r="C38" s="92" t="s">
        <v>298</v>
      </c>
      <c r="D38" s="93" t="s">
        <v>35</v>
      </c>
      <c r="E38" s="400">
        <f>VLOOKUP("D_interest_amount_notes",calcdata,2,0)</f>
        <v>151573.76000000001</v>
      </c>
      <c r="F38" s="313"/>
      <c r="G38" s="19"/>
      <c r="H38" s="315"/>
      <c r="I38" s="398" t="s">
        <v>387</v>
      </c>
      <c r="J38" s="398"/>
      <c r="K38" s="398"/>
      <c r="L38" s="314" t="s">
        <v>35</v>
      </c>
      <c r="M38" s="400">
        <f>VLOOKUP("C_prorata_Principal",calcdata,2,0)</f>
        <v>0</v>
      </c>
      <c r="N38" s="245"/>
      <c r="O38" s="245"/>
      <c r="P38" s="245"/>
      <c r="Q38" s="245"/>
      <c r="R38" s="245"/>
      <c r="S38" s="200"/>
      <c r="T38" s="200"/>
    </row>
    <row r="39" spans="1:20" ht="13.5" customHeight="1">
      <c r="A39" s="206"/>
      <c r="B39" s="206"/>
      <c r="C39" s="92" t="s">
        <v>300</v>
      </c>
      <c r="D39" s="93" t="s">
        <v>35</v>
      </c>
      <c r="E39" s="400">
        <f>VLOOKUP("E_interest_amount_notes",calcdata,2,0)</f>
        <v>220662.32</v>
      </c>
      <c r="F39" s="313"/>
      <c r="G39" s="19"/>
      <c r="H39" s="315"/>
      <c r="I39" s="398" t="s">
        <v>388</v>
      </c>
      <c r="J39" s="398"/>
      <c r="K39" s="398"/>
      <c r="L39" s="314" t="s">
        <v>35</v>
      </c>
      <c r="M39" s="400">
        <f>VLOOKUP("D_prorata_Principal",calcdata,2,0)</f>
        <v>0</v>
      </c>
      <c r="N39" s="245"/>
      <c r="O39" s="245"/>
      <c r="P39" s="245"/>
      <c r="Q39" s="245"/>
      <c r="R39" s="245"/>
      <c r="S39" s="200"/>
      <c r="T39" s="200"/>
    </row>
    <row r="40" spans="1:20" ht="13.5" customHeight="1">
      <c r="A40" s="206"/>
      <c r="B40" s="206"/>
      <c r="C40" s="92" t="s">
        <v>302</v>
      </c>
      <c r="D40" s="93" t="s">
        <v>35</v>
      </c>
      <c r="E40" s="400">
        <f>VLOOKUP("F_interest_amount_notes",calcdata,2,0)</f>
        <v>72033.919999999998</v>
      </c>
      <c r="F40" s="313"/>
      <c r="G40" s="19"/>
      <c r="H40" s="315"/>
      <c r="I40" s="398" t="s">
        <v>389</v>
      </c>
      <c r="J40" s="398"/>
      <c r="K40" s="398"/>
      <c r="L40" s="314" t="s">
        <v>35</v>
      </c>
      <c r="M40" s="400">
        <f>VLOOKUP("E_prorata_Principal",calcdata,2,0)</f>
        <v>0</v>
      </c>
      <c r="N40" s="245"/>
      <c r="O40" s="245"/>
      <c r="P40" s="245"/>
      <c r="Q40" s="245"/>
      <c r="R40" s="245"/>
      <c r="S40" s="200"/>
      <c r="T40" s="200"/>
    </row>
    <row r="41" spans="1:20" ht="13.5" customHeight="1">
      <c r="A41" s="206"/>
      <c r="B41" s="206"/>
      <c r="C41" s="92" t="s">
        <v>554</v>
      </c>
      <c r="D41" s="93" t="s">
        <v>35</v>
      </c>
      <c r="E41" s="400">
        <f>VLOOKUP("Liquidity_Reserve_Account_part1",calcdata,2,0)</f>
        <v>4938873.04</v>
      </c>
      <c r="F41" s="313"/>
      <c r="G41" s="19"/>
      <c r="H41" s="315"/>
      <c r="I41" s="398" t="s">
        <v>297</v>
      </c>
      <c r="J41" s="398"/>
      <c r="K41" s="398"/>
      <c r="L41" s="314" t="s">
        <v>35</v>
      </c>
      <c r="M41" s="400">
        <f>VLOOKUP("A_sequential_Principal",calcdata,2,0)</f>
        <v>16339330.24</v>
      </c>
      <c r="N41" s="245"/>
      <c r="O41" s="245"/>
      <c r="P41" s="245"/>
      <c r="Q41" s="245"/>
      <c r="R41" s="245"/>
      <c r="S41" s="200"/>
      <c r="T41" s="200"/>
    </row>
    <row r="42" spans="1:20" ht="13.5" customHeight="1">
      <c r="A42" s="206"/>
      <c r="B42" s="206"/>
      <c r="C42" s="92" t="s">
        <v>305</v>
      </c>
      <c r="D42" s="93" t="s">
        <v>35</v>
      </c>
      <c r="E42" s="400">
        <f>VLOOKUP("Elimination_PDL",calcdata,2,0)</f>
        <v>1272532.6499999999</v>
      </c>
      <c r="F42" s="313"/>
      <c r="G42" s="19"/>
      <c r="H42" s="315"/>
      <c r="I42" s="398" t="s">
        <v>584</v>
      </c>
      <c r="J42" s="398"/>
      <c r="K42" s="398"/>
      <c r="L42" s="314" t="s">
        <v>35</v>
      </c>
      <c r="M42" s="400">
        <f>VLOOKUP("Full_Redemption_B_F",calcdata,2,0)</f>
        <v>0</v>
      </c>
      <c r="N42" s="245"/>
      <c r="O42" s="245"/>
      <c r="P42" s="245"/>
      <c r="Q42" s="245"/>
      <c r="R42" s="245"/>
      <c r="S42" s="200"/>
      <c r="T42" s="200"/>
    </row>
    <row r="43" spans="1:20" ht="13.5" customHeight="1">
      <c r="A43" s="206"/>
      <c r="B43" s="206"/>
      <c r="C43" s="92" t="s">
        <v>547</v>
      </c>
      <c r="D43" s="93" t="s">
        <v>35</v>
      </c>
      <c r="E43" s="400">
        <f>VLOOKUP("Liquidity_Reserve_Account_part2",calcdata,2,0)</f>
        <v>0</v>
      </c>
      <c r="F43" s="313"/>
      <c r="G43" s="19"/>
      <c r="H43" s="315"/>
      <c r="I43" s="938" t="s">
        <v>774</v>
      </c>
      <c r="J43" s="938"/>
      <c r="K43" s="938"/>
      <c r="L43" s="314" t="s">
        <v>35</v>
      </c>
      <c r="M43" s="400">
        <f>VLOOKUP("Payment_deferred_purchase_price",calcdata,2,0)</f>
        <v>0</v>
      </c>
      <c r="N43" s="245"/>
      <c r="O43" s="245"/>
      <c r="P43" s="245"/>
      <c r="Q43" s="245"/>
      <c r="R43" s="245"/>
      <c r="S43" s="200"/>
      <c r="T43" s="200"/>
    </row>
    <row r="44" spans="1:20" ht="13.5" customHeight="1">
      <c r="A44" s="206"/>
      <c r="B44" s="206"/>
      <c r="C44" s="92" t="s">
        <v>306</v>
      </c>
      <c r="D44" s="93" t="s">
        <v>35</v>
      </c>
      <c r="E44" s="400">
        <f>VLOOKUP("B_Interests_notes",calcdata,2,0)</f>
        <v>0</v>
      </c>
      <c r="F44" s="313"/>
      <c r="G44" s="19"/>
      <c r="H44" s="315"/>
      <c r="I44" s="398" t="s">
        <v>299</v>
      </c>
      <c r="J44" s="398"/>
      <c r="K44" s="398"/>
      <c r="L44" s="314" t="s">
        <v>35</v>
      </c>
      <c r="M44" s="400">
        <f>VLOOKUP("B_Full_Redemption",calcdata,2,0)</f>
        <v>0</v>
      </c>
      <c r="N44" s="245"/>
      <c r="O44" s="245"/>
      <c r="P44" s="245"/>
      <c r="Q44" s="245"/>
      <c r="R44" s="245"/>
      <c r="S44" s="200"/>
      <c r="T44" s="200"/>
    </row>
    <row r="45" spans="1:20" ht="13.5" customHeight="1">
      <c r="A45" s="206"/>
      <c r="B45" s="206"/>
      <c r="C45" s="92" t="s">
        <v>307</v>
      </c>
      <c r="D45" s="93" t="s">
        <v>35</v>
      </c>
      <c r="E45" s="400">
        <f>VLOOKUP("C_Interests_notes",calcdata,2,0)</f>
        <v>0</v>
      </c>
      <c r="F45" s="313"/>
      <c r="G45" s="19"/>
      <c r="H45" s="315"/>
      <c r="I45" s="398" t="s">
        <v>301</v>
      </c>
      <c r="J45" s="398"/>
      <c r="K45" s="398"/>
      <c r="L45" s="314" t="s">
        <v>35</v>
      </c>
      <c r="M45" s="400">
        <f>VLOOKUP("C_Full_Redemption",calcdata,2,0)</f>
        <v>0</v>
      </c>
      <c r="N45" s="250"/>
      <c r="O45" s="250"/>
      <c r="P45" s="250"/>
      <c r="Q45" s="250"/>
      <c r="R45" s="250"/>
      <c r="S45" s="200"/>
      <c r="T45" s="200"/>
    </row>
    <row r="46" spans="1:20" ht="13.5" customHeight="1">
      <c r="A46" s="206"/>
      <c r="B46" s="206"/>
      <c r="C46" s="92" t="s">
        <v>308</v>
      </c>
      <c r="D46" s="93" t="s">
        <v>35</v>
      </c>
      <c r="E46" s="400">
        <f>VLOOKUP("D_Interests_notes",calcdata,2,0)</f>
        <v>0</v>
      </c>
      <c r="F46" s="313"/>
      <c r="G46" s="19"/>
      <c r="H46" s="315"/>
      <c r="I46" s="398" t="s">
        <v>303</v>
      </c>
      <c r="J46" s="398"/>
      <c r="K46" s="398"/>
      <c r="L46" s="314" t="s">
        <v>35</v>
      </c>
      <c r="M46" s="400">
        <f>VLOOKUP("D_Full_Redemption",calcdata,2,0)</f>
        <v>0</v>
      </c>
      <c r="N46" s="250"/>
      <c r="O46" s="250"/>
      <c r="P46" s="250"/>
      <c r="Q46" s="250"/>
      <c r="R46" s="250"/>
      <c r="S46" s="200"/>
      <c r="T46" s="200"/>
    </row>
    <row r="47" spans="1:20" ht="13.5" customHeight="1">
      <c r="A47" s="206"/>
      <c r="B47" s="206"/>
      <c r="C47" s="92" t="s">
        <v>309</v>
      </c>
      <c r="D47" s="93" t="s">
        <v>35</v>
      </c>
      <c r="E47" s="400">
        <f>VLOOKUP("E_Interests_notes",calcdata,2,0)</f>
        <v>0</v>
      </c>
      <c r="F47" s="313"/>
      <c r="G47" s="19"/>
      <c r="H47" s="315"/>
      <c r="I47" s="398" t="s">
        <v>304</v>
      </c>
      <c r="J47" s="398"/>
      <c r="K47" s="398"/>
      <c r="L47" s="314" t="s">
        <v>35</v>
      </c>
      <c r="M47" s="400">
        <f>VLOOKUP("E_Full_Redemption",calcdata,2,0)</f>
        <v>0</v>
      </c>
      <c r="N47" s="250"/>
      <c r="O47" s="250"/>
      <c r="P47" s="250"/>
      <c r="Q47" s="250"/>
      <c r="R47" s="250"/>
      <c r="S47" s="200"/>
      <c r="T47" s="200"/>
    </row>
    <row r="48" spans="1:20" ht="13.5" customHeight="1">
      <c r="A48" s="206"/>
      <c r="B48" s="206"/>
      <c r="C48" s="92" t="s">
        <v>310</v>
      </c>
      <c r="D48" s="93" t="s">
        <v>35</v>
      </c>
      <c r="E48" s="400">
        <f>VLOOKUP("F_Interests_notes",calcdata,2,0)</f>
        <v>0</v>
      </c>
      <c r="F48" s="313"/>
      <c r="G48" s="19"/>
      <c r="H48" s="315"/>
      <c r="I48" s="124" t="s">
        <v>586</v>
      </c>
      <c r="J48" s="398"/>
      <c r="K48" s="398"/>
      <c r="L48" s="314" t="s">
        <v>35</v>
      </c>
      <c r="M48" s="400">
        <f>VLOOKUP("F_Full_Redemption",calcdata,2,0)</f>
        <v>0</v>
      </c>
      <c r="N48" s="250"/>
      <c r="O48" s="250"/>
      <c r="P48" s="250"/>
      <c r="Q48" s="250"/>
      <c r="R48" s="250"/>
      <c r="S48" s="200"/>
      <c r="T48" s="200"/>
    </row>
    <row r="49" spans="1:20" ht="13.5" customHeight="1">
      <c r="A49" s="206"/>
      <c r="B49" s="206"/>
      <c r="C49" s="92" t="s">
        <v>773</v>
      </c>
      <c r="D49" s="93" t="s">
        <v>35</v>
      </c>
      <c r="E49" s="400">
        <f>VLOOKUP("F_Principal_Redemption_amount",calcdata,2,0)</f>
        <v>0</v>
      </c>
      <c r="F49" s="313"/>
      <c r="G49" s="19"/>
      <c r="H49" s="315"/>
      <c r="I49" s="398" t="s">
        <v>404</v>
      </c>
      <c r="L49" s="314" t="s">
        <v>35</v>
      </c>
      <c r="M49" s="400">
        <f>VLOOKUP("Mezzanine_loan_principal",calcdata,2,0)</f>
        <v>0</v>
      </c>
      <c r="N49" s="250"/>
      <c r="O49" s="250"/>
      <c r="P49" s="250"/>
      <c r="Q49" s="250"/>
      <c r="R49" s="250"/>
      <c r="S49" s="200"/>
      <c r="T49" s="200"/>
    </row>
    <row r="50" spans="1:20" ht="13.5" customHeight="1">
      <c r="A50" s="206"/>
      <c r="B50" s="206"/>
      <c r="C50" s="92" t="s">
        <v>568</v>
      </c>
      <c r="D50" s="93" t="s">
        <v>35</v>
      </c>
      <c r="E50" s="400">
        <f>VLOOKUP("Mezzanine_loan_interests",calcdata,2,0)</f>
        <v>0</v>
      </c>
      <c r="F50" s="313"/>
      <c r="G50" s="19"/>
      <c r="H50" s="315"/>
      <c r="I50" s="124" t="s">
        <v>775</v>
      </c>
      <c r="J50" s="398"/>
      <c r="L50" s="314" t="s">
        <v>35</v>
      </c>
      <c r="M50" s="400">
        <f>VLOOKUP("Redemption_deferred_purchase_price",calcdata,2,0)</f>
        <v>0</v>
      </c>
      <c r="N50" s="250"/>
      <c r="O50" s="250"/>
      <c r="P50" s="250"/>
      <c r="Q50" s="250"/>
      <c r="R50" s="250"/>
      <c r="S50" s="200"/>
      <c r="T50" s="200"/>
    </row>
    <row r="51" spans="1:20" ht="13.5" customHeight="1" thickBot="1">
      <c r="A51" s="206"/>
      <c r="B51" s="206"/>
      <c r="C51" s="92" t="s">
        <v>555</v>
      </c>
      <c r="D51" s="93" t="s">
        <v>35</v>
      </c>
      <c r="E51" s="400">
        <f>VLOOKUP("Termination_payment",calcdata,2,0)</f>
        <v>0</v>
      </c>
      <c r="F51" s="313"/>
      <c r="G51" s="19"/>
      <c r="H51" s="315"/>
      <c r="I51" s="124" t="s">
        <v>782</v>
      </c>
      <c r="L51" s="314" t="s">
        <v>35</v>
      </c>
      <c r="M51" s="949">
        <f>VLOOKUP("Clearing_rounding_differences",calcdata,2,0)</f>
        <v>6.32</v>
      </c>
      <c r="N51" s="250"/>
      <c r="O51" s="250"/>
      <c r="P51" s="250"/>
      <c r="Q51" s="250"/>
      <c r="R51" s="250"/>
      <c r="S51" s="200"/>
      <c r="T51" s="200"/>
    </row>
    <row r="52" spans="1:20" ht="13.5" customHeight="1" thickTop="1">
      <c r="A52" s="206"/>
      <c r="B52" s="206"/>
      <c r="C52" s="92" t="s">
        <v>556</v>
      </c>
      <c r="D52" s="93" t="s">
        <v>35</v>
      </c>
      <c r="E52" s="400">
        <f>VLOOKUP("Liqudity_Reserve_Interests",calcdata,2,0)</f>
        <v>0</v>
      </c>
      <c r="F52" s="313"/>
      <c r="G52" s="19"/>
      <c r="H52" s="315"/>
      <c r="I52" s="398" t="s">
        <v>559</v>
      </c>
      <c r="J52" s="398"/>
      <c r="K52" s="398"/>
      <c r="L52" s="314" t="s">
        <v>15</v>
      </c>
      <c r="M52" s="399">
        <f>VLOOKUP("Transaction_Account_remaining_amount",calcdata,2,0)</f>
        <v>0</v>
      </c>
      <c r="N52" s="841"/>
      <c r="O52" s="250"/>
      <c r="P52" s="250"/>
      <c r="Q52" s="250"/>
      <c r="R52" s="250"/>
      <c r="S52" s="200"/>
      <c r="T52" s="200"/>
    </row>
    <row r="53" spans="1:20" ht="13.5" customHeight="1" thickBot="1">
      <c r="A53" s="206"/>
      <c r="B53" s="206"/>
      <c r="C53" s="92" t="s">
        <v>557</v>
      </c>
      <c r="D53" s="93" t="s">
        <v>35</v>
      </c>
      <c r="E53" s="400">
        <f>VLOOKUP("Liqudity_Reserve_Principal",calcdata,2,0)</f>
        <v>0</v>
      </c>
      <c r="F53" s="313"/>
      <c r="G53" s="400"/>
      <c r="H53" s="315"/>
      <c r="J53" s="398"/>
      <c r="K53" s="398"/>
      <c r="L53" s="314"/>
      <c r="N53" s="250"/>
      <c r="O53" s="250"/>
      <c r="P53" s="250"/>
      <c r="Q53" s="250"/>
      <c r="R53" s="250"/>
      <c r="S53" s="200"/>
      <c r="T53" s="200"/>
    </row>
    <row r="54" spans="1:20" ht="13.5" customHeight="1" thickTop="1">
      <c r="A54" s="206"/>
      <c r="B54" s="206"/>
      <c r="C54" s="934" t="s">
        <v>558</v>
      </c>
      <c r="D54" s="93" t="s">
        <v>15</v>
      </c>
      <c r="E54" s="399">
        <f>VLOOKUP("Remaining_amount_seller",calcdata,2,0)</f>
        <v>0</v>
      </c>
      <c r="F54" s="313"/>
      <c r="G54" s="19"/>
      <c r="H54" s="315"/>
      <c r="N54" s="250"/>
      <c r="O54" s="250"/>
      <c r="P54" s="250"/>
      <c r="Q54" s="250"/>
      <c r="R54" s="250"/>
      <c r="S54" s="200"/>
      <c r="T54" s="200"/>
    </row>
    <row r="55" spans="1:20" ht="13.5" customHeight="1">
      <c r="A55" s="206"/>
      <c r="B55" s="206"/>
      <c r="D55" s="124"/>
      <c r="F55" s="313"/>
      <c r="G55" s="19"/>
      <c r="H55" s="315"/>
      <c r="I55" s="410"/>
      <c r="J55" s="314"/>
      <c r="K55" s="314"/>
      <c r="L55" s="314"/>
      <c r="M55" s="250"/>
      <c r="N55" s="250"/>
      <c r="O55" s="250"/>
      <c r="P55" s="250"/>
      <c r="Q55" s="250"/>
      <c r="R55" s="250"/>
      <c r="S55" s="200"/>
      <c r="T55" s="200"/>
    </row>
    <row r="56" spans="1:20" ht="13.5" customHeight="1">
      <c r="A56" s="206"/>
      <c r="B56" s="206"/>
      <c r="C56" s="92"/>
      <c r="D56" s="93"/>
      <c r="E56" s="19"/>
      <c r="F56" s="313"/>
      <c r="G56" s="19"/>
      <c r="H56" s="315"/>
      <c r="I56" s="410"/>
      <c r="J56" s="314"/>
      <c r="K56" s="314"/>
      <c r="L56" s="314"/>
      <c r="M56" s="250"/>
      <c r="N56" s="250"/>
      <c r="O56" s="250"/>
      <c r="P56" s="250"/>
      <c r="Q56" s="250"/>
      <c r="R56" s="250"/>
      <c r="S56" s="200"/>
      <c r="T56" s="200"/>
    </row>
    <row r="57" spans="1:20" ht="13.5" customHeight="1">
      <c r="A57" s="206"/>
      <c r="B57" s="206"/>
      <c r="C57" s="411"/>
      <c r="D57" s="94"/>
      <c r="E57" s="400"/>
      <c r="F57" s="389"/>
      <c r="G57" s="123"/>
      <c r="H57" s="390"/>
      <c r="I57" s="248"/>
      <c r="J57" s="245"/>
      <c r="K57" s="245"/>
      <c r="L57" s="245"/>
      <c r="M57" s="250"/>
      <c r="N57" s="250"/>
      <c r="O57" s="250"/>
      <c r="P57" s="250"/>
      <c r="Q57" s="250"/>
      <c r="R57" s="250"/>
      <c r="S57" s="200"/>
      <c r="T57" s="200"/>
    </row>
    <row r="58" spans="1:20" ht="13.5" customHeight="1">
      <c r="A58" s="206"/>
      <c r="B58" s="221"/>
      <c r="C58" s="27"/>
      <c r="D58" s="10"/>
      <c r="E58" s="54"/>
      <c r="F58" s="54"/>
      <c r="G58" s="54"/>
      <c r="H58" s="54"/>
      <c r="I58" s="54"/>
      <c r="J58" s="54"/>
      <c r="K58" s="54"/>
      <c r="L58" s="54"/>
      <c r="M58" s="54"/>
      <c r="N58" s="54"/>
      <c r="O58" s="54"/>
      <c r="P58" s="54"/>
      <c r="Q58" s="54"/>
      <c r="R58" s="54"/>
      <c r="S58" s="222"/>
      <c r="T58" s="200"/>
    </row>
    <row r="59" spans="1:20" ht="18" customHeight="1">
      <c r="A59" s="206"/>
      <c r="B59" s="19"/>
      <c r="C59" s="90"/>
      <c r="D59" s="91"/>
      <c r="E59" s="47"/>
      <c r="F59" s="47"/>
      <c r="G59" s="47"/>
      <c r="H59" s="47"/>
      <c r="I59" s="47"/>
      <c r="J59" s="47"/>
      <c r="K59" s="47"/>
      <c r="L59" s="47"/>
      <c r="M59" s="47"/>
      <c r="N59" s="47"/>
      <c r="O59" s="47"/>
      <c r="P59" s="47"/>
      <c r="Q59" s="47"/>
      <c r="R59" s="47"/>
      <c r="S59" s="47"/>
      <c r="T59" s="200"/>
    </row>
    <row r="60" spans="1:20" ht="13.5" customHeight="1">
      <c r="A60" s="206"/>
      <c r="B60" s="19"/>
      <c r="C60" s="13"/>
      <c r="D60" s="12"/>
      <c r="E60" s="19"/>
      <c r="F60" s="19"/>
      <c r="G60" s="19"/>
      <c r="H60" s="19"/>
      <c r="I60" s="19"/>
      <c r="J60" s="19"/>
      <c r="K60" s="19"/>
      <c r="L60" s="19"/>
      <c r="M60" s="19"/>
      <c r="N60" s="19"/>
      <c r="O60" s="19"/>
      <c r="P60" s="19"/>
      <c r="Q60" s="19"/>
      <c r="R60" s="19"/>
      <c r="S60" s="19"/>
      <c r="T60" s="200"/>
    </row>
    <row r="61" spans="1:20" ht="12.75" customHeight="1">
      <c r="A61" s="206"/>
      <c r="B61" s="19"/>
      <c r="C61" s="45" t="s">
        <v>86</v>
      </c>
      <c r="D61" s="102" t="s">
        <v>36</v>
      </c>
      <c r="E61" s="46" t="s">
        <v>5</v>
      </c>
      <c r="F61" s="46"/>
      <c r="G61" s="46" t="s">
        <v>6</v>
      </c>
      <c r="H61" s="46"/>
      <c r="I61" s="46" t="s">
        <v>181</v>
      </c>
      <c r="J61" s="46"/>
      <c r="K61" s="46" t="s">
        <v>182</v>
      </c>
      <c r="L61" s="46"/>
      <c r="M61" s="46" t="s">
        <v>183</v>
      </c>
      <c r="N61" s="46"/>
      <c r="O61" s="46" t="s">
        <v>229</v>
      </c>
      <c r="P61" s="46"/>
      <c r="R61" s="46" t="s">
        <v>315</v>
      </c>
      <c r="S61" s="46"/>
      <c r="T61" s="200"/>
    </row>
    <row r="62" spans="1:20" ht="13.5" customHeight="1">
      <c r="A62" s="206"/>
      <c r="B62" s="180"/>
      <c r="C62" s="47" t="s">
        <v>79</v>
      </c>
      <c r="D62" s="50">
        <f>E32</f>
        <v>181.82</v>
      </c>
      <c r="E62" s="48"/>
      <c r="F62" s="48"/>
      <c r="G62" s="48"/>
      <c r="H62" s="49"/>
      <c r="I62" s="48"/>
      <c r="J62" s="49"/>
      <c r="K62" s="48"/>
      <c r="L62" s="49"/>
      <c r="M62" s="48"/>
      <c r="N62" s="48"/>
      <c r="O62" s="48"/>
      <c r="P62" s="48"/>
      <c r="Q62" s="48"/>
      <c r="R62" s="48"/>
      <c r="S62" s="412"/>
      <c r="T62" s="200"/>
    </row>
    <row r="63" spans="1:20" ht="13.5" customHeight="1">
      <c r="A63" s="206"/>
      <c r="B63" s="206"/>
      <c r="C63" s="19" t="s">
        <v>87</v>
      </c>
      <c r="D63" s="50">
        <f t="shared" ref="D63:D69" si="0">SUM(E63:R63)</f>
        <v>1496488.8099999998</v>
      </c>
      <c r="E63" s="50">
        <f>VLOOKUP("A_Interests_accrued",calcdata,2,0)</f>
        <v>841238.96</v>
      </c>
      <c r="F63" s="51"/>
      <c r="G63" s="50">
        <f>VLOOKUP("B_Interests_accrued",calcdata,2,0)</f>
        <v>83316</v>
      </c>
      <c r="H63" s="52"/>
      <c r="I63" s="50">
        <f>VLOOKUP("C_Interests_accrued",calcdata,2,0)</f>
        <v>117583.67999999999</v>
      </c>
      <c r="J63" s="52"/>
      <c r="K63" s="50">
        <f>VLOOKUP("D_Interests_accrued",calcdata,2,0)</f>
        <v>151573.76000000001</v>
      </c>
      <c r="L63" s="52"/>
      <c r="M63" s="50">
        <f>VLOOKUP("E_Interests_accrued",calcdata,2,0)</f>
        <v>220662.32</v>
      </c>
      <c r="N63" s="50"/>
      <c r="O63" s="50">
        <f>VLOOKUP("F_Interests_accrued",calcdata,2,0)</f>
        <v>72033.919999999998</v>
      </c>
      <c r="P63" s="50"/>
      <c r="Q63" s="50">
        <f>VLOOKUP("Reserve_Interests_accrued",calcdata,2,0)</f>
        <v>10080.17</v>
      </c>
      <c r="R63" s="50"/>
      <c r="S63" s="413"/>
      <c r="T63" s="200"/>
    </row>
    <row r="64" spans="1:20" ht="13.5" customHeight="1">
      <c r="A64" s="206"/>
      <c r="B64" s="206"/>
      <c r="C64" s="19" t="s">
        <v>88</v>
      </c>
      <c r="D64" s="50">
        <f t="shared" si="0"/>
        <v>73658660.989999995</v>
      </c>
      <c r="E64" s="50">
        <f>VLOOKUP("A_Interests_accrued_cum",calcdata,2,0)</f>
        <v>47624020.640000001</v>
      </c>
      <c r="F64" s="51"/>
      <c r="G64" s="50">
        <f>VLOOKUP("B_Interests_accrued_cum",calcdata,2,0)</f>
        <v>3831492</v>
      </c>
      <c r="H64" s="52"/>
      <c r="I64" s="50">
        <f>VLOOKUP("C_Interests_accrued_cum",calcdata,2,0)</f>
        <v>5045968.88</v>
      </c>
      <c r="J64" s="52"/>
      <c r="K64" s="50">
        <f>VLOOKUP("D_Interests_accrued_cum",calcdata,2,0)</f>
        <v>6168772.4800000004</v>
      </c>
      <c r="L64" s="52"/>
      <c r="M64" s="50">
        <f>VLOOKUP("E_Interests_accrued_cum",calcdata,2,0)</f>
        <v>8513415.4399999995</v>
      </c>
      <c r="N64" s="50"/>
      <c r="O64" s="50">
        <f>VLOOKUP("F_Interests_accrued_cum",calcdata,2,0)</f>
        <v>2210499.2000000002</v>
      </c>
      <c r="P64" s="50"/>
      <c r="Q64" s="50">
        <f>VLOOKUP("Reserve_Interests_accrued_cum",calcdata,2,0)</f>
        <v>264492.34999999998</v>
      </c>
      <c r="R64" s="50"/>
      <c r="S64" s="413"/>
      <c r="T64" s="200"/>
    </row>
    <row r="65" spans="1:20" ht="13.5" customHeight="1">
      <c r="A65" s="206"/>
      <c r="B65" s="206"/>
      <c r="C65" s="19" t="s">
        <v>89</v>
      </c>
      <c r="D65" s="50">
        <f t="shared" si="0"/>
        <v>1486408.64</v>
      </c>
      <c r="E65" s="50">
        <f>VLOOKUP("A_Interest_Payments",calcdata,2,0)</f>
        <v>841238.96</v>
      </c>
      <c r="F65" s="51"/>
      <c r="G65" s="50">
        <f>VLOOKUP("B_Interest_Payments",calcdata,2,0)</f>
        <v>83316</v>
      </c>
      <c r="H65" s="53"/>
      <c r="I65" s="50">
        <f>VLOOKUP("C_Interest_Payments",calcdata,2,0)</f>
        <v>117583.67999999999</v>
      </c>
      <c r="J65" s="53"/>
      <c r="K65" s="50">
        <f>VLOOKUP("D_Interest_Payments",calcdata,2,0)</f>
        <v>151573.76000000001</v>
      </c>
      <c r="L65" s="53"/>
      <c r="M65" s="50">
        <f>VLOOKUP("E_Interest_Payments",calcdata,2,0)</f>
        <v>220662.32</v>
      </c>
      <c r="N65" s="50"/>
      <c r="O65" s="50">
        <f>VLOOKUP("F_Interest_Payments",calcdata,2,0)</f>
        <v>72033.919999999998</v>
      </c>
      <c r="P65" s="50"/>
      <c r="Q65" s="50">
        <f>VLOOKUP("Reserve_Interest_Payments",calcdata,2,0)</f>
        <v>0</v>
      </c>
      <c r="R65" s="50"/>
      <c r="S65" s="414"/>
      <c r="T65" s="200"/>
    </row>
    <row r="66" spans="1:20" ht="13.5" customHeight="1">
      <c r="A66" s="206"/>
      <c r="B66" s="206"/>
      <c r="C66" s="19" t="s">
        <v>90</v>
      </c>
      <c r="D66" s="50">
        <f t="shared" si="0"/>
        <v>73450879.480000004</v>
      </c>
      <c r="E66" s="50">
        <f>VLOOKUP("A_Interest_Payments_cum",calcdata,2,0)</f>
        <v>47624020.640000001</v>
      </c>
      <c r="F66" s="51"/>
      <c r="G66" s="50">
        <f>VLOOKUP("B_Interest_Payments_cum",calcdata,2,0)</f>
        <v>3831492</v>
      </c>
      <c r="H66" s="53"/>
      <c r="I66" s="50">
        <f>VLOOKUP("C_Interest_Payments_cum",calcdata,2,0)</f>
        <v>5045968.88</v>
      </c>
      <c r="J66" s="53"/>
      <c r="K66" s="50">
        <f>VLOOKUP("D_Interest_Payments_cum",calcdata,2,0)</f>
        <v>6168772.4800000004</v>
      </c>
      <c r="L66" s="53"/>
      <c r="M66" s="50">
        <f>VLOOKUP("E_Interest_Payments_cum",calcdata,2,0)</f>
        <v>8513415.4399999995</v>
      </c>
      <c r="N66" s="50"/>
      <c r="O66" s="50">
        <f>VLOOKUP("F_Interest_Payments_cum",calcdata,2,0)</f>
        <v>2210499.2000000002</v>
      </c>
      <c r="P66" s="50"/>
      <c r="Q66" s="50">
        <f>VLOOKUP("Reserve_Interest_Payments_cum",calcdata,2,0)</f>
        <v>56710.84</v>
      </c>
      <c r="R66" s="50"/>
      <c r="S66" s="414"/>
      <c r="T66" s="200"/>
    </row>
    <row r="67" spans="1:20" ht="13.5" customHeight="1">
      <c r="A67" s="206"/>
      <c r="B67" s="206"/>
      <c r="C67" s="19" t="s">
        <v>91</v>
      </c>
      <c r="D67" s="50">
        <f t="shared" si="0"/>
        <v>10080.17</v>
      </c>
      <c r="E67" s="50">
        <f>VLOOKUP("A_Interests_unpaid",calcdata,2,0)</f>
        <v>0</v>
      </c>
      <c r="F67" s="51"/>
      <c r="G67" s="50">
        <f>VLOOKUP("B_Interests_unpaid",calcdata,2,0)</f>
        <v>0</v>
      </c>
      <c r="H67" s="53"/>
      <c r="I67" s="50">
        <f>VLOOKUP("C_Interests_unpaid",calcdata,2,0)</f>
        <v>0</v>
      </c>
      <c r="J67" s="53"/>
      <c r="K67" s="50">
        <f>VLOOKUP("D_Interests_unpaid",calcdata,2,0)</f>
        <v>0</v>
      </c>
      <c r="L67" s="53"/>
      <c r="M67" s="50">
        <f>VLOOKUP("E_Interests_unpaid",calcdata,2,0)</f>
        <v>0</v>
      </c>
      <c r="N67" s="50"/>
      <c r="O67" s="50">
        <f>VLOOKUP("F_Interests_unpaid",calcdata,2,0)</f>
        <v>0</v>
      </c>
      <c r="P67" s="50"/>
      <c r="Q67" s="50">
        <f>VLOOKUP("Reserve_Interests_unpaid",calcdata,2,0)</f>
        <v>10080.17</v>
      </c>
      <c r="R67" s="50"/>
      <c r="S67" s="414"/>
      <c r="T67" s="200"/>
    </row>
    <row r="68" spans="1:20" ht="13.5" customHeight="1">
      <c r="A68" s="206"/>
      <c r="B68" s="206"/>
      <c r="C68" s="19" t="s">
        <v>92</v>
      </c>
      <c r="D68" s="50">
        <f t="shared" si="0"/>
        <v>207781.51</v>
      </c>
      <c r="E68" s="50">
        <f>VLOOKUP("A_Interests_unpaid_cum",calcdata,2,0)</f>
        <v>0</v>
      </c>
      <c r="F68" s="51"/>
      <c r="G68" s="50">
        <f>VLOOKUP("B_Interests_unpaid_cum",calcdata,2,0)</f>
        <v>0</v>
      </c>
      <c r="H68" s="53"/>
      <c r="I68" s="50">
        <f>VLOOKUP("C_Interests_unpaid_cum",calcdata,2,0)</f>
        <v>0</v>
      </c>
      <c r="J68" s="53"/>
      <c r="K68" s="50">
        <f>VLOOKUP("D_Interests_unpaid_cum",calcdata,2,0)</f>
        <v>0</v>
      </c>
      <c r="L68" s="53"/>
      <c r="M68" s="50">
        <f>VLOOKUP("E_Interests_unpaid_cum",calcdata,2,0)</f>
        <v>0</v>
      </c>
      <c r="N68" s="50"/>
      <c r="O68" s="50">
        <f>VLOOKUP("F_Interests_unpaid_cum",calcdata,2,0)</f>
        <v>0</v>
      </c>
      <c r="P68" s="50"/>
      <c r="Q68" s="50">
        <f>VLOOKUP("Reserve_Interests_unpaid_cum",calcdata,2,0)</f>
        <v>207781.51</v>
      </c>
      <c r="R68" s="50"/>
      <c r="S68" s="414"/>
      <c r="T68" s="200"/>
    </row>
    <row r="69" spans="1:20" ht="13.5" customHeight="1">
      <c r="A69" s="206"/>
      <c r="B69" s="221"/>
      <c r="C69" s="54" t="s">
        <v>316</v>
      </c>
      <c r="D69" s="55">
        <f t="shared" si="0"/>
        <v>11706000</v>
      </c>
      <c r="E69" s="55"/>
      <c r="F69" s="56"/>
      <c r="G69" s="55"/>
      <c r="H69" s="57"/>
      <c r="I69" s="55"/>
      <c r="J69" s="57"/>
      <c r="K69" s="55"/>
      <c r="L69" s="57"/>
      <c r="M69" s="55"/>
      <c r="N69" s="55"/>
      <c r="O69" s="55"/>
      <c r="P69" s="55"/>
      <c r="Q69" s="55">
        <f>VLOOKUP("Reserve_outstanding",calcdata,2,0)</f>
        <v>11706000</v>
      </c>
      <c r="R69" s="55"/>
      <c r="S69" s="415"/>
      <c r="T69" s="200"/>
    </row>
    <row r="70" spans="1:20" s="19" customFormat="1">
      <c r="A70" s="206"/>
      <c r="C70" s="13"/>
      <c r="D70" s="12"/>
      <c r="E70" s="223"/>
      <c r="F70" s="12"/>
      <c r="G70" s="224"/>
      <c r="H70" s="225"/>
      <c r="I70" s="224"/>
      <c r="J70" s="224"/>
      <c r="K70" s="224"/>
      <c r="L70" s="224"/>
      <c r="M70" s="199"/>
      <c r="N70" s="199"/>
      <c r="O70" s="199"/>
      <c r="P70" s="199"/>
      <c r="Q70" s="199"/>
      <c r="T70" s="200"/>
    </row>
    <row r="71" spans="1:20" s="19" customFormat="1">
      <c r="A71" s="221"/>
      <c r="B71" s="54"/>
      <c r="C71" s="27"/>
      <c r="D71" s="10"/>
      <c r="E71" s="373"/>
      <c r="F71" s="10"/>
      <c r="G71" s="341"/>
      <c r="H71" s="374"/>
      <c r="I71" s="341"/>
      <c r="J71" s="341"/>
      <c r="K71" s="341"/>
      <c r="L71" s="341"/>
      <c r="M71" s="416"/>
      <c r="N71" s="416"/>
      <c r="O71" s="416"/>
      <c r="P71" s="416"/>
      <c r="Q71" s="416"/>
      <c r="R71" s="54"/>
      <c r="S71" s="54"/>
      <c r="T71" s="222"/>
    </row>
    <row r="72" spans="1:20" s="123" customFormat="1" ht="15" customHeight="1">
      <c r="C72" s="13"/>
      <c r="D72" s="12"/>
      <c r="E72" s="223"/>
      <c r="F72" s="12"/>
      <c r="G72" s="224"/>
      <c r="H72" s="225"/>
      <c r="I72" s="224"/>
      <c r="J72" s="224"/>
      <c r="K72" s="224"/>
      <c r="L72" s="224"/>
      <c r="M72" s="129"/>
      <c r="N72" s="129"/>
      <c r="O72" s="129"/>
      <c r="P72" s="129"/>
      <c r="Q72" s="129"/>
    </row>
    <row r="73" spans="1:20" s="123" customFormat="1">
      <c r="C73" s="13"/>
      <c r="D73" s="12"/>
      <c r="E73" s="223"/>
      <c r="F73" s="12"/>
      <c r="G73" s="224"/>
      <c r="H73" s="225"/>
      <c r="I73" s="224"/>
      <c r="J73" s="224"/>
      <c r="K73" s="224"/>
      <c r="L73" s="224"/>
      <c r="M73" s="129"/>
      <c r="N73" s="129"/>
      <c r="O73" s="129"/>
      <c r="P73" s="129"/>
      <c r="Q73" s="129"/>
    </row>
    <row r="74" spans="1:20" s="19" customFormat="1">
      <c r="C74" s="13"/>
      <c r="D74" s="12"/>
      <c r="E74" s="223"/>
      <c r="F74" s="12"/>
      <c r="G74" s="224"/>
      <c r="H74" s="225"/>
      <c r="I74" s="224"/>
      <c r="J74" s="224"/>
      <c r="K74" s="224"/>
      <c r="L74" s="224"/>
      <c r="M74" s="199"/>
      <c r="N74" s="199"/>
      <c r="O74" s="199"/>
      <c r="P74" s="199"/>
      <c r="Q74" s="199"/>
    </row>
    <row r="75" spans="1:20" s="19" customFormat="1">
      <c r="C75" s="13"/>
      <c r="D75" s="12"/>
      <c r="E75" s="223"/>
      <c r="F75" s="12"/>
      <c r="G75" s="224"/>
      <c r="H75" s="225"/>
      <c r="I75" s="224"/>
      <c r="J75" s="224"/>
      <c r="K75" s="224"/>
      <c r="L75" s="224"/>
      <c r="M75" s="199"/>
      <c r="N75" s="199"/>
      <c r="O75" s="199"/>
      <c r="P75" s="199"/>
      <c r="Q75" s="199"/>
    </row>
    <row r="76" spans="1:20" s="19" customFormat="1">
      <c r="C76" s="13"/>
      <c r="D76" s="12"/>
      <c r="E76" s="223"/>
      <c r="F76" s="12"/>
      <c r="G76" s="224"/>
      <c r="H76" s="225"/>
      <c r="I76" s="224"/>
      <c r="J76" s="224"/>
      <c r="K76" s="224"/>
      <c r="L76" s="224"/>
      <c r="M76" s="199"/>
      <c r="N76" s="199"/>
      <c r="O76" s="199"/>
      <c r="P76" s="199"/>
      <c r="Q76" s="199"/>
    </row>
    <row r="77" spans="1:20" s="19" customFormat="1">
      <c r="C77" s="13"/>
      <c r="D77" s="12"/>
      <c r="E77" s="223"/>
      <c r="F77" s="12"/>
      <c r="G77" s="224"/>
      <c r="H77" s="225"/>
      <c r="I77" s="224"/>
      <c r="J77" s="224"/>
      <c r="K77" s="224"/>
      <c r="L77" s="224"/>
      <c r="M77" s="199"/>
      <c r="N77" s="199"/>
      <c r="O77" s="199"/>
      <c r="P77" s="199"/>
      <c r="Q77" s="199"/>
    </row>
    <row r="78" spans="1:20" s="19" customFormat="1">
      <c r="C78" s="13"/>
      <c r="D78" s="12"/>
      <c r="E78" s="223"/>
      <c r="F78" s="12"/>
      <c r="G78" s="224"/>
      <c r="H78" s="225"/>
      <c r="I78" s="224"/>
      <c r="J78" s="224"/>
      <c r="K78" s="224"/>
      <c r="L78" s="224"/>
      <c r="M78" s="199"/>
      <c r="N78" s="199"/>
      <c r="O78" s="199"/>
      <c r="P78" s="199"/>
      <c r="Q78" s="199"/>
    </row>
    <row r="79" spans="1:20" s="19" customFormat="1">
      <c r="C79" s="13"/>
      <c r="D79" s="12"/>
      <c r="E79" s="223"/>
      <c r="F79" s="12"/>
      <c r="G79" s="224"/>
      <c r="H79" s="225"/>
      <c r="I79" s="224"/>
      <c r="J79" s="224"/>
      <c r="K79" s="224"/>
      <c r="L79" s="224"/>
      <c r="M79" s="199"/>
      <c r="N79" s="199"/>
      <c r="O79" s="199"/>
      <c r="P79" s="199"/>
      <c r="Q79" s="199"/>
    </row>
    <row r="80" spans="1:20" s="19" customFormat="1">
      <c r="C80" s="13"/>
      <c r="D80" s="12"/>
      <c r="E80" s="223"/>
      <c r="F80" s="12"/>
      <c r="G80" s="224"/>
      <c r="H80" s="225"/>
      <c r="I80" s="224"/>
      <c r="J80" s="224"/>
      <c r="K80" s="224"/>
      <c r="L80" s="224"/>
      <c r="M80" s="199"/>
      <c r="N80" s="199"/>
      <c r="O80" s="199"/>
      <c r="P80" s="199"/>
      <c r="Q80" s="199"/>
    </row>
    <row r="81" spans="3:17" s="19" customFormat="1">
      <c r="C81" s="13"/>
      <c r="D81" s="12"/>
      <c r="E81" s="223"/>
      <c r="F81" s="12"/>
      <c r="G81" s="224"/>
      <c r="H81" s="225"/>
      <c r="I81" s="224"/>
      <c r="J81" s="224"/>
      <c r="K81" s="224"/>
      <c r="L81" s="224"/>
      <c r="M81" s="199"/>
      <c r="N81" s="199"/>
      <c r="O81" s="199"/>
      <c r="P81" s="199"/>
      <c r="Q81" s="199"/>
    </row>
    <row r="82" spans="3:17" s="19" customFormat="1">
      <c r="C82" s="13"/>
      <c r="D82" s="12"/>
      <c r="E82" s="223"/>
      <c r="F82" s="12"/>
      <c r="G82" s="224"/>
      <c r="H82" s="225"/>
      <c r="I82" s="224"/>
      <c r="J82" s="224"/>
      <c r="K82" s="224"/>
      <c r="L82" s="224"/>
      <c r="M82" s="199"/>
      <c r="N82" s="199"/>
      <c r="O82" s="199"/>
      <c r="P82" s="199"/>
      <c r="Q82" s="199"/>
    </row>
    <row r="83" spans="3:17" s="19" customFormat="1">
      <c r="C83" s="13"/>
      <c r="D83" s="12"/>
      <c r="E83" s="223"/>
      <c r="F83" s="12"/>
      <c r="G83" s="224"/>
      <c r="H83" s="225"/>
      <c r="I83" s="224"/>
      <c r="J83" s="224"/>
      <c r="K83" s="224"/>
      <c r="L83" s="224"/>
      <c r="M83" s="199"/>
      <c r="N83" s="199"/>
      <c r="O83" s="199"/>
      <c r="P83" s="199"/>
      <c r="Q83" s="199"/>
    </row>
    <row r="84" spans="3:17" s="19" customFormat="1">
      <c r="C84" s="13"/>
      <c r="D84" s="12"/>
      <c r="E84" s="223"/>
      <c r="F84" s="12"/>
      <c r="G84" s="224"/>
      <c r="H84" s="225"/>
      <c r="I84" s="224"/>
      <c r="J84" s="224"/>
      <c r="K84" s="224"/>
      <c r="L84" s="224"/>
      <c r="M84" s="199"/>
      <c r="N84" s="199"/>
      <c r="O84" s="199"/>
      <c r="P84" s="199"/>
      <c r="Q84" s="199"/>
    </row>
    <row r="85" spans="3:17" s="19" customFormat="1">
      <c r="C85" s="13"/>
      <c r="D85" s="12"/>
      <c r="E85" s="223"/>
      <c r="F85" s="12"/>
      <c r="G85" s="224"/>
      <c r="H85" s="225"/>
      <c r="I85" s="224"/>
      <c r="J85" s="224"/>
      <c r="K85" s="224"/>
      <c r="L85" s="224"/>
      <c r="M85" s="199"/>
      <c r="N85" s="199"/>
      <c r="O85" s="199"/>
      <c r="P85" s="199"/>
      <c r="Q85" s="199"/>
    </row>
    <row r="86" spans="3:17" s="19" customFormat="1">
      <c r="C86" s="13"/>
      <c r="D86" s="12"/>
      <c r="E86" s="223"/>
      <c r="F86" s="12"/>
      <c r="G86" s="224"/>
      <c r="H86" s="225"/>
      <c r="I86" s="224"/>
      <c r="J86" s="224"/>
      <c r="K86" s="224"/>
      <c r="L86" s="224"/>
      <c r="M86" s="199"/>
      <c r="N86" s="199"/>
      <c r="O86" s="199"/>
      <c r="P86" s="199"/>
      <c r="Q86" s="199"/>
    </row>
    <row r="87" spans="3:17" s="19" customFormat="1">
      <c r="C87" s="13"/>
      <c r="D87" s="12"/>
      <c r="E87" s="223"/>
      <c r="F87" s="12"/>
      <c r="G87" s="224"/>
      <c r="H87" s="225"/>
      <c r="I87" s="224"/>
      <c r="J87" s="224"/>
      <c r="K87" s="224"/>
      <c r="L87" s="224"/>
      <c r="M87" s="199"/>
      <c r="N87" s="199"/>
      <c r="O87" s="199"/>
      <c r="P87" s="199"/>
      <c r="Q87" s="199"/>
    </row>
    <row r="88" spans="3:17" s="19" customFormat="1">
      <c r="C88" s="13"/>
      <c r="D88" s="12"/>
      <c r="E88" s="223"/>
      <c r="F88" s="12"/>
      <c r="G88" s="224"/>
      <c r="H88" s="225"/>
      <c r="I88" s="224"/>
      <c r="J88" s="224"/>
      <c r="K88" s="224"/>
      <c r="L88" s="224"/>
      <c r="M88" s="199"/>
      <c r="N88" s="199"/>
      <c r="O88" s="199"/>
      <c r="P88" s="199"/>
      <c r="Q88" s="199"/>
    </row>
    <row r="89" spans="3:17" s="19" customFormat="1">
      <c r="C89" s="13"/>
      <c r="D89" s="12"/>
      <c r="E89" s="223"/>
      <c r="F89" s="12"/>
      <c r="G89" s="224"/>
      <c r="H89" s="225"/>
      <c r="I89" s="224"/>
      <c r="J89" s="224"/>
      <c r="K89" s="224"/>
      <c r="L89" s="224"/>
      <c r="M89" s="199"/>
      <c r="N89" s="199"/>
      <c r="O89" s="199"/>
      <c r="P89" s="199"/>
      <c r="Q89" s="199"/>
    </row>
    <row r="90" spans="3:17" s="19" customFormat="1">
      <c r="C90" s="13"/>
      <c r="D90" s="12"/>
      <c r="E90" s="223"/>
      <c r="F90" s="12"/>
      <c r="G90" s="224"/>
      <c r="H90" s="225"/>
      <c r="I90" s="224"/>
      <c r="J90" s="224"/>
      <c r="K90" s="224"/>
      <c r="L90" s="224"/>
      <c r="M90" s="199"/>
      <c r="N90" s="199"/>
      <c r="O90" s="199"/>
      <c r="P90" s="199"/>
      <c r="Q90" s="199"/>
    </row>
    <row r="91" spans="3:17" s="19" customFormat="1">
      <c r="C91" s="13"/>
      <c r="D91" s="12"/>
      <c r="E91" s="223"/>
      <c r="F91" s="12"/>
      <c r="G91" s="224"/>
      <c r="H91" s="225"/>
      <c r="I91" s="224"/>
      <c r="J91" s="224"/>
      <c r="K91" s="224"/>
      <c r="L91" s="224"/>
      <c r="M91" s="199"/>
      <c r="N91" s="199"/>
      <c r="O91" s="199"/>
      <c r="P91" s="199"/>
      <c r="Q91" s="199"/>
    </row>
    <row r="92" spans="3:17" s="19" customFormat="1">
      <c r="C92" s="13"/>
      <c r="D92" s="12"/>
      <c r="E92" s="223"/>
      <c r="F92" s="12"/>
      <c r="G92" s="224"/>
      <c r="H92" s="225"/>
      <c r="I92" s="224"/>
      <c r="J92" s="224"/>
      <c r="K92" s="224"/>
      <c r="L92" s="224"/>
      <c r="M92" s="199"/>
      <c r="N92" s="199"/>
      <c r="O92" s="199"/>
      <c r="P92" s="199"/>
      <c r="Q92" s="199"/>
    </row>
    <row r="93" spans="3:17" s="19" customFormat="1">
      <c r="C93" s="13"/>
      <c r="D93" s="12"/>
      <c r="E93" s="223"/>
      <c r="F93" s="12"/>
      <c r="G93" s="224"/>
      <c r="H93" s="225"/>
      <c r="I93" s="224"/>
      <c r="J93" s="224"/>
      <c r="K93" s="224"/>
      <c r="L93" s="224"/>
      <c r="M93" s="199"/>
      <c r="N93" s="199"/>
      <c r="O93" s="199"/>
      <c r="P93" s="199"/>
      <c r="Q93" s="199"/>
    </row>
    <row r="94" spans="3:17" s="19" customFormat="1">
      <c r="C94" s="13"/>
      <c r="D94" s="12"/>
      <c r="E94" s="223"/>
      <c r="F94" s="12"/>
      <c r="G94" s="224"/>
      <c r="H94" s="225"/>
      <c r="I94" s="224"/>
      <c r="J94" s="224"/>
      <c r="K94" s="224"/>
      <c r="L94" s="224"/>
      <c r="M94" s="199"/>
      <c r="N94" s="199"/>
      <c r="O94" s="199"/>
      <c r="P94" s="199"/>
      <c r="Q94" s="199"/>
    </row>
    <row r="95" spans="3:17" s="19" customFormat="1">
      <c r="C95" s="13"/>
      <c r="D95" s="12"/>
      <c r="E95" s="223"/>
      <c r="F95" s="12"/>
      <c r="G95" s="224"/>
      <c r="H95" s="225"/>
      <c r="I95" s="224"/>
      <c r="J95" s="224"/>
      <c r="K95" s="224"/>
      <c r="L95" s="224"/>
      <c r="M95" s="199"/>
      <c r="N95" s="199"/>
      <c r="O95" s="199"/>
      <c r="P95" s="199"/>
      <c r="Q95" s="199"/>
    </row>
    <row r="96" spans="3:17" s="19" customFormat="1">
      <c r="C96" s="13"/>
      <c r="D96" s="12"/>
      <c r="E96" s="223"/>
      <c r="F96" s="12"/>
      <c r="G96" s="224"/>
      <c r="H96" s="225"/>
      <c r="I96" s="224"/>
      <c r="J96" s="224"/>
      <c r="K96" s="224"/>
      <c r="L96" s="224"/>
      <c r="M96" s="199"/>
      <c r="N96" s="199"/>
      <c r="O96" s="199"/>
      <c r="P96" s="199"/>
      <c r="Q96" s="199"/>
    </row>
    <row r="97" spans="3:17" s="19" customFormat="1">
      <c r="C97" s="13"/>
      <c r="D97" s="12"/>
      <c r="E97" s="223"/>
      <c r="F97" s="12"/>
      <c r="G97" s="224"/>
      <c r="H97" s="225"/>
      <c r="I97" s="224"/>
      <c r="J97" s="224"/>
      <c r="K97" s="224"/>
      <c r="L97" s="224"/>
      <c r="M97" s="199"/>
      <c r="N97" s="199"/>
      <c r="O97" s="199"/>
      <c r="P97" s="199"/>
      <c r="Q97" s="199"/>
    </row>
    <row r="98" spans="3:17" s="19" customFormat="1">
      <c r="C98" s="13"/>
      <c r="D98" s="12"/>
      <c r="E98" s="223"/>
      <c r="F98" s="12"/>
      <c r="G98" s="224"/>
      <c r="H98" s="225"/>
      <c r="I98" s="224"/>
      <c r="J98" s="224"/>
      <c r="K98" s="224"/>
      <c r="L98" s="224"/>
      <c r="M98" s="199"/>
      <c r="N98" s="199"/>
      <c r="O98" s="199"/>
      <c r="P98" s="199"/>
      <c r="Q98" s="199"/>
    </row>
    <row r="99" spans="3:17" s="19" customFormat="1">
      <c r="C99" s="13"/>
      <c r="D99" s="12"/>
      <c r="E99" s="223"/>
      <c r="F99" s="12"/>
      <c r="G99" s="224"/>
      <c r="H99" s="225"/>
      <c r="I99" s="224"/>
      <c r="J99" s="224"/>
      <c r="K99" s="224"/>
      <c r="L99" s="224"/>
      <c r="M99" s="199"/>
      <c r="N99" s="199"/>
      <c r="O99" s="199"/>
      <c r="P99" s="199"/>
      <c r="Q99" s="199"/>
    </row>
    <row r="100" spans="3:17" s="19" customFormat="1">
      <c r="C100" s="13"/>
      <c r="D100" s="12"/>
      <c r="E100" s="223"/>
      <c r="F100" s="12"/>
      <c r="G100" s="224"/>
      <c r="H100" s="225"/>
      <c r="I100" s="224"/>
      <c r="J100" s="224"/>
      <c r="K100" s="224"/>
      <c r="L100" s="224"/>
      <c r="M100" s="199"/>
      <c r="N100" s="199"/>
      <c r="O100" s="199"/>
      <c r="P100" s="199"/>
      <c r="Q100" s="199"/>
    </row>
    <row r="101" spans="3:17" s="19" customFormat="1">
      <c r="C101" s="13"/>
      <c r="D101" s="12"/>
      <c r="E101" s="223"/>
      <c r="F101" s="12"/>
      <c r="G101" s="224"/>
      <c r="H101" s="225"/>
      <c r="I101" s="224"/>
      <c r="J101" s="224"/>
      <c r="K101" s="224"/>
      <c r="L101" s="224"/>
      <c r="M101" s="199"/>
      <c r="N101" s="199"/>
      <c r="O101" s="199"/>
      <c r="P101" s="199"/>
      <c r="Q101" s="199"/>
    </row>
    <row r="102" spans="3:17" s="19" customFormat="1">
      <c r="C102" s="13"/>
      <c r="D102" s="12"/>
      <c r="E102" s="226"/>
      <c r="F102" s="227"/>
      <c r="G102" s="259"/>
      <c r="H102" s="229"/>
      <c r="I102" s="259"/>
      <c r="J102" s="259"/>
      <c r="K102" s="259"/>
      <c r="L102" s="259"/>
      <c r="M102" s="199"/>
      <c r="N102" s="199"/>
      <c r="O102" s="199"/>
      <c r="P102" s="199"/>
      <c r="Q102" s="199"/>
    </row>
    <row r="103" spans="3:17" s="19" customFormat="1">
      <c r="C103" s="13"/>
      <c r="D103" s="12"/>
      <c r="E103" s="226"/>
      <c r="F103" s="226"/>
      <c r="G103" s="226"/>
      <c r="H103" s="226"/>
      <c r="I103" s="226"/>
      <c r="J103" s="226"/>
      <c r="K103" s="226"/>
      <c r="L103" s="226"/>
      <c r="M103" s="199"/>
      <c r="N103" s="199"/>
      <c r="O103" s="199"/>
      <c r="P103" s="199"/>
      <c r="Q103" s="199"/>
    </row>
    <row r="104" spans="3:17" s="19" customFormat="1">
      <c r="C104" s="13"/>
      <c r="D104" s="12"/>
      <c r="E104" s="226"/>
      <c r="F104" s="226"/>
      <c r="G104" s="226"/>
      <c r="H104" s="226"/>
      <c r="I104" s="226"/>
      <c r="J104" s="226"/>
      <c r="K104" s="226"/>
      <c r="L104" s="226"/>
      <c r="M104" s="199"/>
      <c r="N104" s="199"/>
      <c r="O104" s="199"/>
      <c r="P104" s="199"/>
      <c r="Q104" s="199"/>
    </row>
    <row r="105" spans="3:17" s="19" customFormat="1">
      <c r="C105" s="13"/>
      <c r="D105" s="12"/>
      <c r="E105" s="230"/>
      <c r="F105" s="417"/>
      <c r="G105" s="226"/>
      <c r="H105" s="226"/>
      <c r="I105" s="226"/>
      <c r="J105" s="226"/>
      <c r="K105" s="226"/>
      <c r="L105" s="226"/>
      <c r="M105" s="199"/>
      <c r="N105" s="199"/>
      <c r="O105" s="199"/>
      <c r="P105" s="199"/>
      <c r="Q105" s="199"/>
    </row>
    <row r="106" spans="3:17" s="19" customFormat="1">
      <c r="C106" s="13"/>
      <c r="D106" s="12"/>
      <c r="E106" s="227"/>
      <c r="F106" s="417"/>
      <c r="G106" s="226"/>
      <c r="H106" s="226"/>
      <c r="I106" s="226"/>
      <c r="J106" s="226"/>
      <c r="K106" s="226"/>
      <c r="L106" s="226"/>
      <c r="M106" s="199"/>
      <c r="N106" s="199"/>
      <c r="O106" s="199"/>
      <c r="P106" s="199"/>
      <c r="Q106" s="199"/>
    </row>
    <row r="107" spans="3:17" s="19" customFormat="1">
      <c r="C107" s="13"/>
      <c r="D107" s="12"/>
      <c r="E107" s="226"/>
      <c r="F107" s="417"/>
      <c r="G107" s="226"/>
      <c r="H107" s="226"/>
      <c r="I107" s="226"/>
      <c r="J107" s="226"/>
      <c r="K107" s="226"/>
      <c r="L107" s="226"/>
      <c r="M107" s="199"/>
      <c r="N107" s="199"/>
      <c r="O107" s="199"/>
      <c r="P107" s="199"/>
      <c r="Q107" s="199"/>
    </row>
    <row r="108" spans="3:17" s="19" customFormat="1" ht="14">
      <c r="C108" s="226"/>
      <c r="D108" s="418"/>
      <c r="E108" s="232"/>
      <c r="F108" s="232"/>
      <c r="G108" s="232"/>
      <c r="H108" s="232"/>
      <c r="I108" s="232"/>
      <c r="J108" s="232"/>
      <c r="K108" s="232"/>
      <c r="L108" s="232"/>
      <c r="M108" s="199"/>
      <c r="N108" s="199"/>
      <c r="O108" s="199"/>
      <c r="P108" s="199"/>
      <c r="Q108" s="199"/>
    </row>
    <row r="109" spans="3:17" s="19" customFormat="1" ht="14">
      <c r="C109" s="123"/>
      <c r="D109" s="185"/>
      <c r="E109" s="232"/>
      <c r="F109" s="232"/>
      <c r="G109" s="232"/>
      <c r="H109" s="232"/>
      <c r="I109" s="232"/>
      <c r="J109" s="232"/>
      <c r="K109" s="232"/>
      <c r="L109" s="232"/>
      <c r="M109" s="199"/>
      <c r="N109" s="199"/>
      <c r="O109" s="199"/>
      <c r="P109" s="199"/>
      <c r="Q109" s="199"/>
    </row>
    <row r="110" spans="3:17" s="19" customFormat="1" ht="14">
      <c r="C110" s="123"/>
      <c r="D110" s="185"/>
      <c r="E110" s="233"/>
      <c r="F110" s="419"/>
      <c r="G110" s="232"/>
      <c r="H110" s="232"/>
      <c r="I110" s="232"/>
      <c r="J110" s="232"/>
      <c r="K110" s="232"/>
      <c r="L110" s="232"/>
      <c r="M110" s="199"/>
      <c r="N110" s="199"/>
      <c r="O110" s="199"/>
      <c r="P110" s="199"/>
      <c r="Q110" s="199"/>
    </row>
    <row r="111" spans="3:17" s="19" customFormat="1" ht="14">
      <c r="C111" s="230"/>
      <c r="D111" s="417"/>
      <c r="E111" s="235"/>
      <c r="F111" s="419"/>
      <c r="G111" s="232"/>
      <c r="H111" s="232"/>
      <c r="I111" s="232"/>
      <c r="J111" s="232"/>
      <c r="K111" s="232"/>
      <c r="L111" s="232"/>
      <c r="M111" s="199"/>
      <c r="N111" s="199"/>
      <c r="O111" s="199"/>
      <c r="P111" s="199"/>
      <c r="Q111" s="199"/>
    </row>
    <row r="112" spans="3:17" s="19" customFormat="1" ht="14">
      <c r="C112" s="236"/>
      <c r="D112" s="417"/>
      <c r="E112" s="232"/>
      <c r="F112" s="419"/>
      <c r="G112" s="232"/>
      <c r="H112" s="232"/>
      <c r="I112" s="232"/>
      <c r="J112" s="232"/>
      <c r="K112" s="232"/>
      <c r="L112" s="232"/>
      <c r="M112" s="199"/>
      <c r="N112" s="199"/>
      <c r="O112" s="199"/>
      <c r="P112" s="199"/>
      <c r="Q112" s="199"/>
    </row>
    <row r="113" spans="4:17" s="19" customFormat="1">
      <c r="D113" s="417"/>
      <c r="M113" s="199"/>
      <c r="N113" s="199"/>
      <c r="O113" s="199"/>
      <c r="P113" s="199"/>
      <c r="Q113" s="199"/>
    </row>
    <row r="114" spans="4:17" s="19" customFormat="1">
      <c r="D114" s="115"/>
      <c r="M114" s="199"/>
      <c r="N114" s="199"/>
      <c r="O114" s="199"/>
      <c r="P114" s="199"/>
      <c r="Q114" s="199"/>
    </row>
    <row r="115" spans="4:17" s="19" customFormat="1">
      <c r="D115" s="115"/>
      <c r="M115" s="199"/>
      <c r="N115" s="199"/>
      <c r="O115" s="199"/>
      <c r="P115" s="199"/>
      <c r="Q115" s="199"/>
    </row>
    <row r="116" spans="4:17" s="19" customFormat="1">
      <c r="D116" s="115"/>
      <c r="M116" s="199"/>
      <c r="N116" s="199"/>
      <c r="O116" s="199"/>
      <c r="P116" s="199"/>
      <c r="Q116" s="199"/>
    </row>
    <row r="117" spans="4:17" s="19" customFormat="1">
      <c r="D117" s="115"/>
      <c r="M117" s="199"/>
      <c r="N117" s="199"/>
      <c r="O117" s="199"/>
      <c r="P117" s="199"/>
      <c r="Q117" s="199"/>
    </row>
    <row r="118" spans="4:17" s="19" customFormat="1">
      <c r="D118" s="115"/>
      <c r="M118" s="199"/>
      <c r="N118" s="199"/>
      <c r="O118" s="199"/>
      <c r="P118" s="199"/>
      <c r="Q118" s="199"/>
    </row>
    <row r="119" spans="4:17" s="19" customFormat="1">
      <c r="D119" s="115"/>
      <c r="M119" s="199"/>
      <c r="N119" s="199"/>
      <c r="O119" s="199"/>
      <c r="P119" s="199"/>
      <c r="Q119" s="199"/>
    </row>
    <row r="120" spans="4:17" s="19" customFormat="1">
      <c r="D120" s="115"/>
      <c r="M120" s="199"/>
      <c r="N120" s="199"/>
      <c r="O120" s="199"/>
      <c r="P120" s="199"/>
      <c r="Q120" s="199"/>
    </row>
    <row r="121" spans="4:17" s="19" customFormat="1">
      <c r="D121" s="115"/>
      <c r="M121" s="199"/>
      <c r="N121" s="199"/>
      <c r="O121" s="199"/>
      <c r="P121" s="199"/>
      <c r="Q121" s="199"/>
    </row>
    <row r="122" spans="4:17" s="19" customFormat="1">
      <c r="D122" s="115"/>
      <c r="M122" s="199"/>
      <c r="N122" s="199"/>
      <c r="O122" s="199"/>
      <c r="P122" s="199"/>
      <c r="Q122" s="199"/>
    </row>
    <row r="123" spans="4:17" s="19" customFormat="1">
      <c r="D123" s="115"/>
      <c r="M123" s="199"/>
      <c r="N123" s="199"/>
      <c r="O123" s="199"/>
      <c r="P123" s="199"/>
      <c r="Q123" s="199"/>
    </row>
    <row r="124" spans="4:17" s="19" customFormat="1">
      <c r="D124" s="115"/>
      <c r="M124" s="199"/>
      <c r="N124" s="199"/>
      <c r="O124" s="199"/>
      <c r="P124" s="199"/>
      <c r="Q124" s="199"/>
    </row>
    <row r="125" spans="4:17" s="19" customFormat="1">
      <c r="D125" s="115"/>
      <c r="M125" s="199"/>
      <c r="N125" s="199"/>
      <c r="O125" s="199"/>
      <c r="P125" s="199"/>
      <c r="Q125" s="199"/>
    </row>
    <row r="126" spans="4:17" s="19" customFormat="1">
      <c r="D126" s="115"/>
      <c r="M126" s="199"/>
      <c r="N126" s="199"/>
      <c r="O126" s="199"/>
      <c r="P126" s="199"/>
      <c r="Q126" s="199"/>
    </row>
    <row r="127" spans="4:17" s="19" customFormat="1">
      <c r="D127" s="115"/>
      <c r="M127" s="199"/>
      <c r="N127" s="199"/>
      <c r="O127" s="199"/>
      <c r="P127" s="199"/>
      <c r="Q127" s="199"/>
    </row>
    <row r="128" spans="4:17" s="19" customFormat="1">
      <c r="D128" s="115"/>
      <c r="M128" s="199"/>
      <c r="N128" s="199"/>
      <c r="O128" s="199"/>
      <c r="P128" s="199"/>
      <c r="Q128" s="199"/>
    </row>
    <row r="129" spans="4:17" s="19" customFormat="1">
      <c r="D129" s="115"/>
      <c r="M129" s="199"/>
      <c r="N129" s="199"/>
      <c r="O129" s="199"/>
      <c r="P129" s="199"/>
      <c r="Q129" s="199"/>
    </row>
    <row r="130" spans="4:17" s="19" customFormat="1">
      <c r="D130" s="115"/>
      <c r="M130" s="199"/>
      <c r="N130" s="199"/>
      <c r="O130" s="199"/>
      <c r="P130" s="199"/>
      <c r="Q130" s="199"/>
    </row>
    <row r="131" spans="4:17" s="19" customFormat="1">
      <c r="D131" s="115"/>
      <c r="M131" s="199"/>
      <c r="N131" s="199"/>
      <c r="O131" s="199"/>
      <c r="P131" s="199"/>
      <c r="Q131" s="199"/>
    </row>
    <row r="132" spans="4:17" s="19" customFormat="1">
      <c r="D132" s="115"/>
      <c r="M132" s="199"/>
      <c r="N132" s="199"/>
      <c r="O132" s="199"/>
      <c r="P132" s="199"/>
      <c r="Q132" s="199"/>
    </row>
    <row r="133" spans="4:17" s="19" customFormat="1">
      <c r="D133" s="115"/>
      <c r="M133" s="199"/>
      <c r="N133" s="199"/>
      <c r="O133" s="199"/>
      <c r="P133" s="199"/>
      <c r="Q133" s="199"/>
    </row>
    <row r="134" spans="4:17" s="19" customFormat="1">
      <c r="D134" s="115"/>
      <c r="M134" s="199"/>
      <c r="N134" s="199"/>
      <c r="O134" s="199"/>
      <c r="P134" s="199"/>
      <c r="Q134" s="199"/>
    </row>
    <row r="135" spans="4:17" s="19" customFormat="1">
      <c r="D135" s="115"/>
      <c r="M135" s="199"/>
      <c r="N135" s="199"/>
      <c r="O135" s="199"/>
      <c r="P135" s="199"/>
      <c r="Q135" s="199"/>
    </row>
    <row r="136" spans="4:17" s="19" customFormat="1">
      <c r="D136" s="115"/>
      <c r="M136" s="199"/>
      <c r="N136" s="199"/>
      <c r="O136" s="199"/>
      <c r="P136" s="199"/>
      <c r="Q136" s="199"/>
    </row>
    <row r="137" spans="4:17" s="19" customFormat="1">
      <c r="D137" s="115"/>
      <c r="M137" s="199"/>
      <c r="N137" s="199"/>
      <c r="O137" s="199"/>
      <c r="P137" s="199"/>
      <c r="Q137" s="199"/>
    </row>
    <row r="138" spans="4:17" s="19" customFormat="1">
      <c r="D138" s="115"/>
      <c r="M138" s="199"/>
      <c r="N138" s="199"/>
      <c r="O138" s="199"/>
      <c r="P138" s="199"/>
      <c r="Q138" s="199"/>
    </row>
    <row r="139" spans="4:17" s="19" customFormat="1">
      <c r="D139" s="115"/>
      <c r="M139" s="199"/>
      <c r="N139" s="199"/>
      <c r="O139" s="199"/>
      <c r="P139" s="199"/>
      <c r="Q139" s="199"/>
    </row>
    <row r="140" spans="4:17" s="19" customFormat="1">
      <c r="D140" s="115"/>
      <c r="M140" s="199"/>
      <c r="N140" s="199"/>
      <c r="O140" s="199"/>
      <c r="P140" s="199"/>
      <c r="Q140" s="199"/>
    </row>
    <row r="141" spans="4:17" s="19" customFormat="1">
      <c r="D141" s="115"/>
      <c r="M141" s="199"/>
      <c r="N141" s="199"/>
      <c r="O141" s="199"/>
      <c r="P141" s="199"/>
      <c r="Q141" s="199"/>
    </row>
    <row r="142" spans="4:17" s="19" customFormat="1">
      <c r="D142" s="115"/>
      <c r="M142" s="199"/>
      <c r="N142" s="199"/>
      <c r="O142" s="199"/>
      <c r="P142" s="199"/>
      <c r="Q142" s="199"/>
    </row>
    <row r="143" spans="4:17" s="19" customFormat="1">
      <c r="D143" s="115"/>
      <c r="M143" s="199"/>
      <c r="N143" s="199"/>
      <c r="O143" s="199"/>
      <c r="P143" s="199"/>
      <c r="Q143" s="199"/>
    </row>
    <row r="144" spans="4:17" s="19" customFormat="1">
      <c r="D144" s="115"/>
      <c r="M144" s="199"/>
      <c r="N144" s="199"/>
      <c r="O144" s="199"/>
      <c r="P144" s="199"/>
      <c r="Q144" s="199"/>
    </row>
    <row r="145" spans="4:17" s="19" customFormat="1">
      <c r="D145" s="115"/>
      <c r="M145" s="199"/>
      <c r="N145" s="199"/>
      <c r="O145" s="199"/>
      <c r="P145" s="199"/>
      <c r="Q145" s="199"/>
    </row>
    <row r="146" spans="4:17" s="19" customFormat="1">
      <c r="D146" s="115"/>
      <c r="M146" s="199"/>
      <c r="N146" s="199"/>
      <c r="O146" s="199"/>
      <c r="P146" s="199"/>
      <c r="Q146" s="199"/>
    </row>
    <row r="147" spans="4:17" s="19" customFormat="1">
      <c r="D147" s="115"/>
      <c r="M147" s="199"/>
      <c r="N147" s="199"/>
      <c r="O147" s="199"/>
      <c r="P147" s="199"/>
      <c r="Q147" s="199"/>
    </row>
    <row r="148" spans="4:17" s="19" customFormat="1">
      <c r="D148" s="115"/>
      <c r="M148" s="199"/>
      <c r="N148" s="199"/>
      <c r="O148" s="199"/>
      <c r="P148" s="199"/>
      <c r="Q148" s="199"/>
    </row>
    <row r="149" spans="4:17" s="19" customFormat="1">
      <c r="D149" s="115"/>
      <c r="M149" s="199"/>
      <c r="N149" s="199"/>
      <c r="O149" s="199"/>
      <c r="P149" s="199"/>
      <c r="Q149" s="199"/>
    </row>
    <row r="150" spans="4:17" s="19" customFormat="1">
      <c r="D150" s="115"/>
      <c r="M150" s="199"/>
      <c r="N150" s="199"/>
      <c r="O150" s="199"/>
      <c r="P150" s="199"/>
      <c r="Q150" s="199"/>
    </row>
    <row r="151" spans="4:17" s="19" customFormat="1">
      <c r="D151" s="115"/>
      <c r="M151" s="199"/>
      <c r="N151" s="199"/>
      <c r="O151" s="199"/>
      <c r="P151" s="199"/>
      <c r="Q151" s="199"/>
    </row>
    <row r="152" spans="4:17" s="19" customFormat="1">
      <c r="D152" s="115"/>
      <c r="M152" s="199"/>
      <c r="N152" s="199"/>
      <c r="O152" s="199"/>
      <c r="P152" s="199"/>
      <c r="Q152" s="199"/>
    </row>
    <row r="153" spans="4:17" s="19" customFormat="1">
      <c r="D153" s="115"/>
      <c r="M153" s="199"/>
      <c r="N153" s="199"/>
      <c r="O153" s="199"/>
      <c r="P153" s="199"/>
      <c r="Q153" s="199"/>
    </row>
    <row r="154" spans="4:17" s="19" customFormat="1">
      <c r="D154" s="115"/>
      <c r="M154" s="199"/>
      <c r="N154" s="199"/>
      <c r="O154" s="199"/>
      <c r="P154" s="199"/>
      <c r="Q154" s="199"/>
    </row>
    <row r="155" spans="4:17" s="19" customFormat="1">
      <c r="D155" s="115"/>
      <c r="M155" s="199"/>
      <c r="N155" s="199"/>
      <c r="O155" s="199"/>
      <c r="P155" s="199"/>
      <c r="Q155" s="199"/>
    </row>
    <row r="156" spans="4:17" s="19" customFormat="1">
      <c r="D156" s="115"/>
      <c r="M156" s="199"/>
      <c r="N156" s="199"/>
      <c r="O156" s="199"/>
      <c r="P156" s="199"/>
      <c r="Q156" s="199"/>
    </row>
    <row r="157" spans="4:17" s="19" customFormat="1">
      <c r="D157" s="115"/>
      <c r="M157" s="199"/>
      <c r="N157" s="199"/>
      <c r="O157" s="199"/>
      <c r="P157" s="199"/>
      <c r="Q157" s="199"/>
    </row>
    <row r="158" spans="4:17" s="19" customFormat="1">
      <c r="D158" s="115"/>
      <c r="M158" s="199"/>
      <c r="N158" s="199"/>
      <c r="O158" s="199"/>
      <c r="P158" s="199"/>
      <c r="Q158" s="199"/>
    </row>
    <row r="159" spans="4:17" s="19" customFormat="1">
      <c r="D159" s="115"/>
      <c r="M159" s="199"/>
      <c r="N159" s="199"/>
      <c r="O159" s="199"/>
      <c r="P159" s="199"/>
      <c r="Q159" s="199"/>
    </row>
    <row r="160" spans="4:17" s="19" customFormat="1">
      <c r="D160" s="115"/>
      <c r="M160" s="199"/>
      <c r="N160" s="199"/>
      <c r="O160" s="199"/>
      <c r="P160" s="199"/>
      <c r="Q160" s="199"/>
    </row>
    <row r="161" spans="4:17" s="19" customFormat="1">
      <c r="D161" s="115"/>
      <c r="M161" s="199"/>
      <c r="N161" s="199"/>
      <c r="O161" s="199"/>
      <c r="P161" s="199"/>
      <c r="Q161" s="199"/>
    </row>
    <row r="162" spans="4:17" s="19" customFormat="1">
      <c r="D162" s="115"/>
      <c r="M162" s="199"/>
      <c r="N162" s="199"/>
      <c r="O162" s="199"/>
      <c r="P162" s="199"/>
      <c r="Q162" s="199"/>
    </row>
    <row r="163" spans="4:17" s="19" customFormat="1">
      <c r="D163" s="115"/>
      <c r="M163" s="199"/>
      <c r="N163" s="199"/>
      <c r="O163" s="199"/>
      <c r="P163" s="199"/>
      <c r="Q163" s="199"/>
    </row>
    <row r="164" spans="4:17" s="19" customFormat="1">
      <c r="D164" s="115"/>
      <c r="M164" s="199"/>
      <c r="N164" s="199"/>
      <c r="O164" s="199"/>
      <c r="P164" s="199"/>
      <c r="Q164" s="199"/>
    </row>
    <row r="165" spans="4:17" s="19" customFormat="1">
      <c r="D165" s="115"/>
      <c r="M165" s="199"/>
      <c r="N165" s="199"/>
      <c r="O165" s="199"/>
      <c r="P165" s="199"/>
      <c r="Q165" s="199"/>
    </row>
    <row r="166" spans="4:17" s="19" customFormat="1">
      <c r="D166" s="115"/>
      <c r="M166" s="199"/>
      <c r="N166" s="199"/>
      <c r="O166" s="199"/>
      <c r="P166" s="199"/>
      <c r="Q166" s="199"/>
    </row>
    <row r="167" spans="4:17" s="19" customFormat="1">
      <c r="D167" s="115"/>
      <c r="M167" s="199"/>
      <c r="N167" s="199"/>
      <c r="O167" s="199"/>
      <c r="P167" s="199"/>
      <c r="Q167" s="199"/>
    </row>
    <row r="168" spans="4:17" s="19" customFormat="1">
      <c r="D168" s="115"/>
      <c r="M168" s="199"/>
      <c r="N168" s="199"/>
      <c r="O168" s="199"/>
      <c r="P168" s="199"/>
      <c r="Q168" s="199"/>
    </row>
    <row r="169" spans="4:17" s="19" customFormat="1">
      <c r="D169" s="115"/>
      <c r="M169" s="199"/>
      <c r="N169" s="199"/>
      <c r="O169" s="199"/>
      <c r="P169" s="199"/>
      <c r="Q169" s="199"/>
    </row>
    <row r="170" spans="4:17" s="19" customFormat="1">
      <c r="D170" s="115"/>
      <c r="M170" s="199"/>
      <c r="N170" s="199"/>
      <c r="O170" s="199"/>
      <c r="P170" s="199"/>
      <c r="Q170" s="199"/>
    </row>
    <row r="171" spans="4:17" s="19" customFormat="1">
      <c r="D171" s="115"/>
      <c r="M171" s="199"/>
      <c r="N171" s="199"/>
      <c r="O171" s="199"/>
      <c r="P171" s="199"/>
      <c r="Q171" s="199"/>
    </row>
    <row r="172" spans="4:17" s="19" customFormat="1">
      <c r="D172" s="115"/>
      <c r="M172" s="199"/>
      <c r="N172" s="199"/>
      <c r="O172" s="199"/>
      <c r="P172" s="199"/>
      <c r="Q172" s="199"/>
    </row>
    <row r="173" spans="4:17" s="19" customFormat="1">
      <c r="D173" s="115"/>
      <c r="M173" s="199"/>
      <c r="N173" s="199"/>
      <c r="O173" s="199"/>
      <c r="P173" s="199"/>
      <c r="Q173" s="199"/>
    </row>
    <row r="174" spans="4:17" s="19" customFormat="1">
      <c r="D174" s="115"/>
      <c r="M174" s="199"/>
      <c r="N174" s="199"/>
      <c r="O174" s="199"/>
      <c r="P174" s="199"/>
      <c r="Q174" s="199"/>
    </row>
    <row r="175" spans="4:17" s="19" customFormat="1">
      <c r="D175" s="115"/>
      <c r="M175" s="199"/>
      <c r="N175" s="199"/>
      <c r="O175" s="199"/>
      <c r="P175" s="199"/>
      <c r="Q175" s="199"/>
    </row>
    <row r="176" spans="4:17" s="19" customFormat="1">
      <c r="D176" s="115"/>
      <c r="M176" s="199"/>
      <c r="N176" s="199"/>
      <c r="O176" s="199"/>
      <c r="P176" s="199"/>
      <c r="Q176" s="199"/>
    </row>
    <row r="177" spans="4:17" s="19" customFormat="1">
      <c r="D177" s="115"/>
      <c r="M177" s="199"/>
      <c r="N177" s="199"/>
      <c r="O177" s="199"/>
      <c r="P177" s="199"/>
      <c r="Q177" s="199"/>
    </row>
    <row r="178" spans="4:17" s="19" customFormat="1">
      <c r="D178" s="115"/>
      <c r="M178" s="199"/>
      <c r="N178" s="199"/>
      <c r="O178" s="199"/>
      <c r="P178" s="199"/>
      <c r="Q178" s="199"/>
    </row>
    <row r="179" spans="4:17" s="19" customFormat="1">
      <c r="D179" s="115"/>
      <c r="M179" s="199"/>
      <c r="N179" s="199"/>
      <c r="O179" s="199"/>
      <c r="P179" s="199"/>
      <c r="Q179" s="199"/>
    </row>
    <row r="180" spans="4:17" s="19" customFormat="1">
      <c r="D180" s="115"/>
      <c r="M180" s="199"/>
      <c r="N180" s="199"/>
      <c r="O180" s="199"/>
      <c r="P180" s="199"/>
      <c r="Q180" s="199"/>
    </row>
    <row r="181" spans="4:17" s="19" customFormat="1">
      <c r="D181" s="115"/>
      <c r="M181" s="199"/>
      <c r="N181" s="199"/>
      <c r="O181" s="199"/>
      <c r="P181" s="199"/>
      <c r="Q181" s="199"/>
    </row>
    <row r="182" spans="4:17" s="19" customFormat="1">
      <c r="D182" s="115"/>
      <c r="M182" s="199"/>
      <c r="N182" s="199"/>
      <c r="O182" s="199"/>
      <c r="P182" s="199"/>
      <c r="Q182" s="199"/>
    </row>
    <row r="183" spans="4:17" s="19" customFormat="1">
      <c r="D183" s="115"/>
      <c r="M183" s="199"/>
      <c r="N183" s="199"/>
      <c r="O183" s="199"/>
      <c r="P183" s="199"/>
      <c r="Q183" s="199"/>
    </row>
    <row r="184" spans="4:17" s="19" customFormat="1">
      <c r="D184" s="115"/>
      <c r="M184" s="199"/>
      <c r="N184" s="199"/>
      <c r="O184" s="199"/>
      <c r="P184" s="199"/>
      <c r="Q184" s="199"/>
    </row>
    <row r="185" spans="4:17" s="19" customFormat="1">
      <c r="D185" s="115"/>
      <c r="M185" s="199"/>
      <c r="N185" s="199"/>
      <c r="O185" s="199"/>
      <c r="P185" s="199"/>
      <c r="Q185" s="199"/>
    </row>
    <row r="186" spans="4:17" s="19" customFormat="1">
      <c r="D186" s="115"/>
      <c r="M186" s="199"/>
      <c r="N186" s="199"/>
      <c r="O186" s="199"/>
      <c r="P186" s="199"/>
      <c r="Q186" s="199"/>
    </row>
    <row r="187" spans="4:17" s="19" customFormat="1">
      <c r="D187" s="115"/>
      <c r="M187" s="199"/>
      <c r="N187" s="199"/>
      <c r="O187" s="199"/>
      <c r="P187" s="199"/>
      <c r="Q187" s="199"/>
    </row>
    <row r="188" spans="4:17" s="19" customFormat="1">
      <c r="D188" s="115"/>
      <c r="M188" s="199"/>
      <c r="N188" s="199"/>
      <c r="O188" s="199"/>
      <c r="P188" s="199"/>
      <c r="Q188" s="199"/>
    </row>
    <row r="189" spans="4:17" s="19" customFormat="1">
      <c r="D189" s="115"/>
      <c r="M189" s="199"/>
      <c r="N189" s="199"/>
      <c r="O189" s="199"/>
      <c r="P189" s="199"/>
      <c r="Q189" s="199"/>
    </row>
    <row r="190" spans="4:17" s="19" customFormat="1">
      <c r="D190" s="115"/>
      <c r="M190" s="199"/>
      <c r="N190" s="199"/>
      <c r="O190" s="199"/>
      <c r="P190" s="199"/>
      <c r="Q190" s="199"/>
    </row>
    <row r="191" spans="4:17" s="19" customFormat="1">
      <c r="D191" s="115"/>
      <c r="M191" s="199"/>
      <c r="N191" s="199"/>
      <c r="O191" s="199"/>
      <c r="P191" s="199"/>
      <c r="Q191" s="199"/>
    </row>
    <row r="192" spans="4:17" s="19" customFormat="1">
      <c r="D192" s="115"/>
      <c r="M192" s="199"/>
      <c r="N192" s="199"/>
      <c r="O192" s="199"/>
      <c r="P192" s="199"/>
      <c r="Q192" s="199"/>
    </row>
    <row r="193" spans="4:17" s="19" customFormat="1">
      <c r="D193" s="115"/>
      <c r="M193" s="199"/>
      <c r="N193" s="199"/>
      <c r="O193" s="199"/>
      <c r="P193" s="199"/>
      <c r="Q193" s="199"/>
    </row>
    <row r="194" spans="4:17" s="19" customFormat="1">
      <c r="D194" s="115"/>
      <c r="M194" s="199"/>
      <c r="N194" s="199"/>
      <c r="O194" s="199"/>
      <c r="P194" s="199"/>
      <c r="Q194" s="199"/>
    </row>
    <row r="195" spans="4:17" s="19" customFormat="1">
      <c r="D195" s="115"/>
      <c r="M195" s="199"/>
      <c r="N195" s="199"/>
      <c r="O195" s="199"/>
      <c r="P195" s="199"/>
      <c r="Q195" s="199"/>
    </row>
    <row r="196" spans="4:17" s="19" customFormat="1">
      <c r="D196" s="115"/>
      <c r="M196" s="199"/>
      <c r="N196" s="199"/>
      <c r="O196" s="199"/>
      <c r="P196" s="199"/>
      <c r="Q196" s="199"/>
    </row>
    <row r="197" spans="4:17" s="19" customFormat="1">
      <c r="D197" s="115"/>
      <c r="M197" s="199"/>
      <c r="N197" s="199"/>
      <c r="O197" s="199"/>
      <c r="P197" s="199"/>
      <c r="Q197" s="199"/>
    </row>
    <row r="198" spans="4:17" s="19" customFormat="1">
      <c r="D198" s="115"/>
      <c r="M198" s="199"/>
      <c r="N198" s="199"/>
      <c r="O198" s="199"/>
      <c r="P198" s="199"/>
      <c r="Q198" s="199"/>
    </row>
    <row r="199" spans="4:17" s="19" customFormat="1">
      <c r="D199" s="115"/>
      <c r="M199" s="199"/>
      <c r="N199" s="199"/>
      <c r="O199" s="199"/>
      <c r="P199" s="199"/>
      <c r="Q199" s="199"/>
    </row>
    <row r="200" spans="4:17" s="19" customFormat="1">
      <c r="D200" s="115"/>
      <c r="M200" s="199"/>
      <c r="N200" s="199"/>
      <c r="O200" s="199"/>
      <c r="P200" s="199"/>
      <c r="Q200" s="199"/>
    </row>
    <row r="201" spans="4:17" s="19" customFormat="1">
      <c r="D201" s="115"/>
      <c r="M201" s="199"/>
      <c r="N201" s="199"/>
      <c r="O201" s="199"/>
      <c r="P201" s="199"/>
      <c r="Q201" s="199"/>
    </row>
    <row r="202" spans="4:17" s="19" customFormat="1">
      <c r="D202" s="115"/>
      <c r="M202" s="199"/>
      <c r="N202" s="199"/>
      <c r="O202" s="199"/>
      <c r="P202" s="199"/>
      <c r="Q202" s="199"/>
    </row>
    <row r="203" spans="4:17" s="19" customFormat="1">
      <c r="D203" s="115"/>
      <c r="M203" s="199"/>
      <c r="N203" s="199"/>
      <c r="O203" s="199"/>
      <c r="P203" s="199"/>
      <c r="Q203" s="199"/>
    </row>
    <row r="204" spans="4:17" s="19" customFormat="1">
      <c r="D204" s="115"/>
      <c r="M204" s="199"/>
      <c r="N204" s="199"/>
      <c r="O204" s="199"/>
      <c r="P204" s="199"/>
      <c r="Q204" s="199"/>
    </row>
    <row r="205" spans="4:17" s="19" customFormat="1">
      <c r="D205" s="115"/>
      <c r="M205" s="199"/>
      <c r="N205" s="199"/>
      <c r="O205" s="199"/>
      <c r="P205" s="199"/>
      <c r="Q205" s="199"/>
    </row>
    <row r="206" spans="4:17" s="19" customFormat="1">
      <c r="D206" s="115"/>
      <c r="M206" s="199"/>
      <c r="N206" s="199"/>
      <c r="O206" s="199"/>
      <c r="P206" s="199"/>
      <c r="Q206" s="199"/>
    </row>
    <row r="207" spans="4:17" s="19" customFormat="1">
      <c r="D207" s="115"/>
      <c r="M207" s="199"/>
      <c r="N207" s="199"/>
      <c r="O207" s="199"/>
      <c r="P207" s="199"/>
      <c r="Q207" s="199"/>
    </row>
    <row r="208" spans="4:17" s="19" customFormat="1">
      <c r="D208" s="115"/>
      <c r="M208" s="199"/>
      <c r="N208" s="199"/>
      <c r="O208" s="199"/>
      <c r="P208" s="199"/>
      <c r="Q208" s="199"/>
    </row>
    <row r="209" spans="4:17" s="19" customFormat="1">
      <c r="D209" s="115"/>
      <c r="M209" s="199"/>
      <c r="N209" s="199"/>
      <c r="O209" s="199"/>
      <c r="P209" s="199"/>
      <c r="Q209" s="199"/>
    </row>
    <row r="210" spans="4:17" s="19" customFormat="1">
      <c r="D210" s="115"/>
      <c r="M210" s="199"/>
      <c r="N210" s="199"/>
      <c r="O210" s="199"/>
      <c r="P210" s="199"/>
      <c r="Q210" s="199"/>
    </row>
    <row r="211" spans="4:17" s="19" customFormat="1">
      <c r="D211" s="115"/>
      <c r="M211" s="199"/>
      <c r="N211" s="199"/>
      <c r="O211" s="199"/>
      <c r="P211" s="199"/>
      <c r="Q211" s="199"/>
    </row>
    <row r="212" spans="4:17" s="19" customFormat="1">
      <c r="D212" s="115"/>
      <c r="M212" s="199"/>
      <c r="N212" s="199"/>
      <c r="O212" s="199"/>
      <c r="P212" s="199"/>
      <c r="Q212" s="199"/>
    </row>
    <row r="213" spans="4:17" s="19" customFormat="1">
      <c r="D213" s="115"/>
      <c r="M213" s="199"/>
      <c r="N213" s="199"/>
      <c r="O213" s="199"/>
      <c r="P213" s="199"/>
      <c r="Q213" s="199"/>
    </row>
    <row r="214" spans="4:17" s="19" customFormat="1">
      <c r="D214" s="115"/>
      <c r="M214" s="199"/>
      <c r="N214" s="199"/>
      <c r="O214" s="199"/>
      <c r="P214" s="199"/>
      <c r="Q214" s="199"/>
    </row>
    <row r="215" spans="4:17" s="19" customFormat="1">
      <c r="D215" s="115"/>
      <c r="M215" s="199"/>
      <c r="N215" s="199"/>
      <c r="O215" s="199"/>
      <c r="P215" s="199"/>
      <c r="Q215" s="199"/>
    </row>
    <row r="216" spans="4:17" s="19" customFormat="1">
      <c r="D216" s="115"/>
      <c r="M216" s="199"/>
      <c r="N216" s="199"/>
      <c r="O216" s="199"/>
      <c r="P216" s="199"/>
      <c r="Q216" s="199"/>
    </row>
    <row r="217" spans="4:17" s="19" customFormat="1">
      <c r="D217" s="115"/>
      <c r="M217" s="199"/>
      <c r="N217" s="199"/>
      <c r="O217" s="199"/>
      <c r="P217" s="199"/>
      <c r="Q217" s="199"/>
    </row>
    <row r="218" spans="4:17" s="19" customFormat="1">
      <c r="D218" s="115"/>
      <c r="M218" s="199"/>
      <c r="N218" s="199"/>
      <c r="O218" s="199"/>
      <c r="P218" s="199"/>
      <c r="Q218" s="199"/>
    </row>
    <row r="219" spans="4:17" s="19" customFormat="1">
      <c r="D219" s="115"/>
      <c r="M219" s="199"/>
      <c r="N219" s="199"/>
      <c r="O219" s="199"/>
      <c r="P219" s="199"/>
      <c r="Q219" s="199"/>
    </row>
    <row r="220" spans="4:17" s="19" customFormat="1">
      <c r="D220" s="115"/>
      <c r="M220" s="199"/>
      <c r="N220" s="199"/>
      <c r="O220" s="199"/>
      <c r="P220" s="199"/>
      <c r="Q220" s="199"/>
    </row>
    <row r="221" spans="4:17" s="19" customFormat="1">
      <c r="D221" s="115"/>
      <c r="M221" s="199"/>
      <c r="N221" s="199"/>
      <c r="O221" s="199"/>
      <c r="P221" s="199"/>
      <c r="Q221" s="199"/>
    </row>
    <row r="222" spans="4:17" s="19" customFormat="1">
      <c r="D222" s="115"/>
      <c r="M222" s="199"/>
      <c r="N222" s="199"/>
      <c r="O222" s="199"/>
      <c r="P222" s="199"/>
      <c r="Q222" s="199"/>
    </row>
    <row r="223" spans="4:17" s="19" customFormat="1">
      <c r="D223" s="115"/>
      <c r="M223" s="199"/>
      <c r="N223" s="199"/>
      <c r="O223" s="199"/>
      <c r="P223" s="199"/>
      <c r="Q223" s="199"/>
    </row>
    <row r="224" spans="4:17" s="19" customFormat="1">
      <c r="D224" s="115"/>
      <c r="M224" s="199"/>
      <c r="N224" s="199"/>
      <c r="O224" s="199"/>
      <c r="P224" s="199"/>
      <c r="Q224" s="199"/>
    </row>
    <row r="225" spans="4:17" s="19" customFormat="1">
      <c r="D225" s="115"/>
      <c r="M225" s="199"/>
      <c r="N225" s="199"/>
      <c r="O225" s="199"/>
      <c r="P225" s="199"/>
      <c r="Q225" s="199"/>
    </row>
    <row r="226" spans="4:17" s="19" customFormat="1">
      <c r="D226" s="115"/>
      <c r="M226" s="199"/>
      <c r="N226" s="199"/>
      <c r="O226" s="199"/>
      <c r="P226" s="199"/>
      <c r="Q226" s="199"/>
    </row>
    <row r="227" spans="4:17" s="19" customFormat="1">
      <c r="D227" s="115"/>
      <c r="M227" s="199"/>
      <c r="N227" s="199"/>
      <c r="O227" s="199"/>
      <c r="P227" s="199"/>
      <c r="Q227" s="199"/>
    </row>
    <row r="228" spans="4:17" s="19" customFormat="1">
      <c r="D228" s="115"/>
      <c r="M228" s="199"/>
      <c r="N228" s="199"/>
      <c r="O228" s="199"/>
      <c r="P228" s="199"/>
      <c r="Q228" s="199"/>
    </row>
    <row r="229" spans="4:17" s="19" customFormat="1">
      <c r="D229" s="115"/>
      <c r="M229" s="199"/>
      <c r="N229" s="199"/>
      <c r="O229" s="199"/>
      <c r="P229" s="199"/>
      <c r="Q229" s="199"/>
    </row>
    <row r="230" spans="4:17" s="19" customFormat="1">
      <c r="D230" s="115"/>
      <c r="M230" s="199"/>
      <c r="N230" s="199"/>
      <c r="O230" s="199"/>
      <c r="P230" s="199"/>
      <c r="Q230" s="199"/>
    </row>
    <row r="231" spans="4:17" s="19" customFormat="1">
      <c r="D231" s="115"/>
      <c r="M231" s="199"/>
      <c r="N231" s="199"/>
      <c r="O231" s="199"/>
      <c r="P231" s="199"/>
      <c r="Q231" s="199"/>
    </row>
    <row r="232" spans="4:17" s="19" customFormat="1">
      <c r="D232" s="115"/>
      <c r="M232" s="199"/>
      <c r="N232" s="199"/>
      <c r="O232" s="199"/>
      <c r="P232" s="199"/>
      <c r="Q232" s="199"/>
    </row>
    <row r="233" spans="4:17" s="19" customFormat="1">
      <c r="D233" s="115"/>
      <c r="M233" s="199"/>
      <c r="N233" s="199"/>
      <c r="O233" s="199"/>
      <c r="P233" s="199"/>
      <c r="Q233" s="199"/>
    </row>
    <row r="234" spans="4:17" s="19" customFormat="1">
      <c r="D234" s="115"/>
      <c r="M234" s="199"/>
      <c r="N234" s="199"/>
      <c r="O234" s="199"/>
      <c r="P234" s="199"/>
      <c r="Q234" s="199"/>
    </row>
    <row r="235" spans="4:17" s="19" customFormat="1">
      <c r="D235" s="115"/>
      <c r="M235" s="199"/>
      <c r="N235" s="199"/>
      <c r="O235" s="199"/>
      <c r="P235" s="199"/>
      <c r="Q235" s="199"/>
    </row>
    <row r="236" spans="4:17" s="19" customFormat="1">
      <c r="D236" s="115"/>
      <c r="M236" s="199"/>
      <c r="N236" s="199"/>
      <c r="O236" s="199"/>
      <c r="P236" s="199"/>
      <c r="Q236" s="199"/>
    </row>
    <row r="237" spans="4:17" s="19" customFormat="1">
      <c r="D237" s="115"/>
      <c r="M237" s="199"/>
      <c r="N237" s="199"/>
      <c r="O237" s="199"/>
      <c r="P237" s="199"/>
      <c r="Q237" s="199"/>
    </row>
    <row r="238" spans="4:17" s="19" customFormat="1">
      <c r="D238" s="115"/>
      <c r="M238" s="199"/>
      <c r="N238" s="199"/>
      <c r="O238" s="199"/>
      <c r="P238" s="199"/>
      <c r="Q238" s="199"/>
    </row>
    <row r="239" spans="4:17" s="19" customFormat="1">
      <c r="D239" s="115"/>
      <c r="M239" s="199"/>
      <c r="N239" s="199"/>
      <c r="O239" s="199"/>
      <c r="P239" s="199"/>
      <c r="Q239" s="199"/>
    </row>
    <row r="240" spans="4:17" s="19" customFormat="1">
      <c r="D240" s="115"/>
      <c r="M240" s="199"/>
      <c r="N240" s="199"/>
      <c r="O240" s="199"/>
      <c r="P240" s="199"/>
      <c r="Q240" s="199"/>
    </row>
    <row r="241" spans="4:17" s="19" customFormat="1">
      <c r="D241" s="115"/>
      <c r="M241" s="199"/>
      <c r="N241" s="199"/>
      <c r="O241" s="199"/>
      <c r="P241" s="199"/>
      <c r="Q241" s="199"/>
    </row>
    <row r="242" spans="4:17" s="19" customFormat="1">
      <c r="D242" s="115"/>
      <c r="M242" s="199"/>
      <c r="N242" s="199"/>
      <c r="O242" s="199"/>
      <c r="P242" s="199"/>
      <c r="Q242" s="199"/>
    </row>
    <row r="243" spans="4:17" s="19" customFormat="1">
      <c r="D243" s="115"/>
      <c r="M243" s="199"/>
      <c r="N243" s="199"/>
      <c r="O243" s="199"/>
      <c r="P243" s="199"/>
      <c r="Q243" s="199"/>
    </row>
    <row r="244" spans="4:17" s="19" customFormat="1">
      <c r="D244" s="115"/>
      <c r="M244" s="199"/>
      <c r="N244" s="199"/>
      <c r="O244" s="199"/>
      <c r="P244" s="199"/>
      <c r="Q244" s="199"/>
    </row>
    <row r="245" spans="4:17" s="19" customFormat="1">
      <c r="D245" s="115"/>
      <c r="M245" s="199"/>
      <c r="N245" s="199"/>
      <c r="O245" s="199"/>
      <c r="P245" s="199"/>
      <c r="Q245" s="199"/>
    </row>
    <row r="246" spans="4:17" s="19" customFormat="1">
      <c r="D246" s="115"/>
      <c r="M246" s="199"/>
      <c r="N246" s="199"/>
      <c r="O246" s="199"/>
      <c r="P246" s="199"/>
      <c r="Q246" s="199"/>
    </row>
    <row r="247" spans="4:17" s="19" customFormat="1">
      <c r="D247" s="115"/>
      <c r="M247" s="199"/>
      <c r="N247" s="199"/>
      <c r="O247" s="199"/>
      <c r="P247" s="199"/>
      <c r="Q247" s="199"/>
    </row>
    <row r="248" spans="4:17" s="19" customFormat="1">
      <c r="D248" s="115"/>
      <c r="M248" s="199"/>
      <c r="N248" s="199"/>
      <c r="O248" s="199"/>
      <c r="P248" s="199"/>
      <c r="Q248" s="199"/>
    </row>
    <row r="249" spans="4:17" s="19" customFormat="1">
      <c r="D249" s="115"/>
      <c r="M249" s="199"/>
      <c r="N249" s="199"/>
      <c r="O249" s="199"/>
      <c r="P249" s="199"/>
      <c r="Q249" s="199"/>
    </row>
    <row r="250" spans="4:17" s="19" customFormat="1">
      <c r="D250" s="115"/>
      <c r="M250" s="199"/>
      <c r="N250" s="199"/>
      <c r="O250" s="199"/>
      <c r="P250" s="199"/>
      <c r="Q250" s="199"/>
    </row>
    <row r="251" spans="4:17" s="19" customFormat="1">
      <c r="D251" s="115"/>
      <c r="M251" s="199"/>
      <c r="N251" s="199"/>
      <c r="O251" s="199"/>
      <c r="P251" s="199"/>
      <c r="Q251" s="199"/>
    </row>
    <row r="252" spans="4:17" s="19" customFormat="1">
      <c r="D252" s="115"/>
      <c r="M252" s="199"/>
      <c r="N252" s="199"/>
      <c r="O252" s="199"/>
      <c r="P252" s="199"/>
      <c r="Q252" s="199"/>
    </row>
    <row r="253" spans="4:17" s="19" customFormat="1">
      <c r="D253" s="115"/>
      <c r="M253" s="199"/>
      <c r="N253" s="199"/>
      <c r="O253" s="199"/>
      <c r="P253" s="199"/>
      <c r="Q253" s="199"/>
    </row>
    <row r="254" spans="4:17" s="19" customFormat="1">
      <c r="D254" s="115"/>
      <c r="M254" s="199"/>
      <c r="N254" s="199"/>
      <c r="O254" s="199"/>
      <c r="P254" s="199"/>
      <c r="Q254" s="199"/>
    </row>
    <row r="255" spans="4:17" s="19" customFormat="1">
      <c r="D255" s="115"/>
      <c r="M255" s="199"/>
      <c r="N255" s="199"/>
      <c r="O255" s="199"/>
      <c r="P255" s="199"/>
      <c r="Q255" s="199"/>
    </row>
    <row r="256" spans="4:17" s="19" customFormat="1">
      <c r="D256" s="115"/>
      <c r="M256" s="199"/>
      <c r="N256" s="199"/>
      <c r="O256" s="199"/>
      <c r="P256" s="199"/>
      <c r="Q256" s="199"/>
    </row>
    <row r="257" spans="4:17" s="19" customFormat="1">
      <c r="D257" s="115"/>
      <c r="M257" s="199"/>
      <c r="N257" s="199"/>
      <c r="O257" s="199"/>
      <c r="P257" s="199"/>
      <c r="Q257" s="199"/>
    </row>
    <row r="258" spans="4:17" s="19" customFormat="1">
      <c r="D258" s="115"/>
      <c r="M258" s="199"/>
      <c r="N258" s="199"/>
      <c r="O258" s="199"/>
      <c r="P258" s="199"/>
      <c r="Q258" s="199"/>
    </row>
    <row r="259" spans="4:17" s="19" customFormat="1">
      <c r="D259" s="115"/>
      <c r="M259" s="199"/>
      <c r="N259" s="199"/>
      <c r="O259" s="199"/>
      <c r="P259" s="199"/>
      <c r="Q259" s="199"/>
    </row>
    <row r="260" spans="4:17" s="19" customFormat="1">
      <c r="D260" s="115"/>
      <c r="M260" s="199"/>
      <c r="N260" s="199"/>
      <c r="O260" s="199"/>
      <c r="P260" s="199"/>
      <c r="Q260" s="199"/>
    </row>
    <row r="261" spans="4:17" s="19" customFormat="1">
      <c r="D261" s="115"/>
      <c r="M261" s="199"/>
      <c r="N261" s="199"/>
      <c r="O261" s="199"/>
      <c r="P261" s="199"/>
      <c r="Q261" s="199"/>
    </row>
    <row r="262" spans="4:17" s="19" customFormat="1">
      <c r="D262" s="115"/>
      <c r="M262" s="199"/>
      <c r="N262" s="199"/>
      <c r="O262" s="199"/>
      <c r="P262" s="199"/>
      <c r="Q262" s="199"/>
    </row>
    <row r="263" spans="4:17" s="19" customFormat="1">
      <c r="D263" s="115"/>
      <c r="M263" s="199"/>
      <c r="N263" s="199"/>
      <c r="O263" s="199"/>
      <c r="P263" s="199"/>
      <c r="Q263" s="199"/>
    </row>
    <row r="264" spans="4:17" s="19" customFormat="1">
      <c r="D264" s="115"/>
      <c r="M264" s="199"/>
      <c r="N264" s="199"/>
      <c r="O264" s="199"/>
      <c r="P264" s="199"/>
      <c r="Q264" s="199"/>
    </row>
    <row r="265" spans="4:17" s="19" customFormat="1">
      <c r="D265" s="115"/>
      <c r="M265" s="199"/>
      <c r="N265" s="199"/>
      <c r="O265" s="199"/>
      <c r="P265" s="199"/>
      <c r="Q265" s="199"/>
    </row>
    <row r="266" spans="4:17" s="19" customFormat="1">
      <c r="D266" s="115"/>
      <c r="M266" s="199"/>
      <c r="N266" s="199"/>
      <c r="O266" s="199"/>
      <c r="P266" s="199"/>
      <c r="Q266" s="199"/>
    </row>
    <row r="267" spans="4:17" s="19" customFormat="1">
      <c r="D267" s="115"/>
      <c r="M267" s="199"/>
      <c r="N267" s="199"/>
      <c r="O267" s="199"/>
      <c r="P267" s="199"/>
      <c r="Q267" s="199"/>
    </row>
    <row r="268" spans="4:17" s="19" customFormat="1">
      <c r="D268" s="115"/>
      <c r="M268" s="199"/>
      <c r="N268" s="199"/>
      <c r="O268" s="199"/>
      <c r="P268" s="199"/>
      <c r="Q268" s="199"/>
    </row>
    <row r="269" spans="4:17" s="19" customFormat="1">
      <c r="D269" s="115"/>
      <c r="M269" s="199"/>
      <c r="N269" s="199"/>
      <c r="O269" s="199"/>
      <c r="P269" s="199"/>
      <c r="Q269" s="199"/>
    </row>
    <row r="270" spans="4:17" s="19" customFormat="1">
      <c r="D270" s="115"/>
      <c r="M270" s="199"/>
      <c r="N270" s="199"/>
      <c r="O270" s="199"/>
      <c r="P270" s="199"/>
      <c r="Q270" s="199"/>
    </row>
    <row r="271" spans="4:17" s="19" customFormat="1">
      <c r="D271" s="115"/>
      <c r="M271" s="199"/>
      <c r="N271" s="199"/>
      <c r="O271" s="199"/>
      <c r="P271" s="199"/>
      <c r="Q271" s="199"/>
    </row>
    <row r="272" spans="4:17" s="19" customFormat="1">
      <c r="D272" s="115"/>
      <c r="M272" s="199"/>
      <c r="N272" s="199"/>
      <c r="O272" s="199"/>
      <c r="P272" s="199"/>
      <c r="Q272" s="199"/>
    </row>
    <row r="273" spans="4:17" s="19" customFormat="1">
      <c r="D273" s="115"/>
      <c r="M273" s="199"/>
      <c r="N273" s="199"/>
      <c r="O273" s="199"/>
      <c r="P273" s="199"/>
      <c r="Q273" s="199"/>
    </row>
    <row r="274" spans="4:17" s="19" customFormat="1">
      <c r="D274" s="115"/>
      <c r="M274" s="199"/>
      <c r="N274" s="199"/>
      <c r="O274" s="199"/>
      <c r="P274" s="199"/>
      <c r="Q274" s="199"/>
    </row>
    <row r="275" spans="4:17" s="19" customFormat="1">
      <c r="D275" s="115"/>
      <c r="M275" s="199"/>
      <c r="N275" s="199"/>
      <c r="O275" s="199"/>
      <c r="P275" s="199"/>
      <c r="Q275" s="199"/>
    </row>
    <row r="276" spans="4:17" s="19" customFormat="1">
      <c r="D276" s="115"/>
      <c r="M276" s="199"/>
      <c r="N276" s="199"/>
      <c r="O276" s="199"/>
      <c r="P276" s="199"/>
      <c r="Q276" s="199"/>
    </row>
    <row r="277" spans="4:17" s="19" customFormat="1">
      <c r="D277" s="115"/>
      <c r="M277" s="199"/>
      <c r="N277" s="199"/>
      <c r="O277" s="199"/>
      <c r="P277" s="199"/>
      <c r="Q277" s="199"/>
    </row>
    <row r="278" spans="4:17" s="19" customFormat="1">
      <c r="D278" s="115"/>
      <c r="M278" s="199"/>
      <c r="N278" s="199"/>
      <c r="O278" s="199"/>
      <c r="P278" s="199"/>
      <c r="Q278" s="199"/>
    </row>
    <row r="279" spans="4:17" s="19" customFormat="1">
      <c r="D279" s="115"/>
      <c r="M279" s="199"/>
      <c r="N279" s="199"/>
      <c r="O279" s="199"/>
      <c r="P279" s="199"/>
      <c r="Q279" s="199"/>
    </row>
    <row r="280" spans="4:17" s="19" customFormat="1">
      <c r="D280" s="115"/>
      <c r="M280" s="199"/>
      <c r="N280" s="199"/>
      <c r="O280" s="199"/>
      <c r="P280" s="199"/>
      <c r="Q280" s="199"/>
    </row>
    <row r="281" spans="4:17" s="19" customFormat="1">
      <c r="D281" s="115"/>
      <c r="M281" s="199"/>
      <c r="N281" s="199"/>
      <c r="O281" s="199"/>
      <c r="P281" s="199"/>
      <c r="Q281" s="199"/>
    </row>
    <row r="282" spans="4:17" s="19" customFormat="1">
      <c r="D282" s="115"/>
      <c r="M282" s="199"/>
      <c r="N282" s="199"/>
      <c r="O282" s="199"/>
      <c r="P282" s="199"/>
      <c r="Q282" s="199"/>
    </row>
    <row r="283" spans="4:17" s="19" customFormat="1">
      <c r="D283" s="115"/>
      <c r="M283" s="199"/>
      <c r="N283" s="199"/>
      <c r="O283" s="199"/>
      <c r="P283" s="199"/>
      <c r="Q283" s="199"/>
    </row>
    <row r="284" spans="4:17" s="19" customFormat="1">
      <c r="D284" s="115"/>
      <c r="M284" s="199"/>
      <c r="N284" s="199"/>
      <c r="O284" s="199"/>
      <c r="P284" s="199"/>
      <c r="Q284" s="199"/>
    </row>
    <row r="285" spans="4:17" s="19" customFormat="1">
      <c r="D285" s="115"/>
      <c r="M285" s="199"/>
      <c r="N285" s="199"/>
      <c r="O285" s="199"/>
      <c r="P285" s="199"/>
      <c r="Q285" s="199"/>
    </row>
    <row r="286" spans="4:17" s="19" customFormat="1">
      <c r="D286" s="115"/>
      <c r="M286" s="199"/>
      <c r="N286" s="199"/>
      <c r="O286" s="199"/>
      <c r="P286" s="199"/>
      <c r="Q286" s="199"/>
    </row>
    <row r="287" spans="4:17" s="19" customFormat="1">
      <c r="D287" s="115"/>
      <c r="M287" s="199"/>
      <c r="N287" s="199"/>
      <c r="O287" s="199"/>
      <c r="P287" s="199"/>
      <c r="Q287" s="199"/>
    </row>
    <row r="288" spans="4:17" s="19" customFormat="1">
      <c r="D288" s="115"/>
      <c r="M288" s="199"/>
      <c r="N288" s="199"/>
      <c r="O288" s="199"/>
      <c r="P288" s="199"/>
      <c r="Q288" s="199"/>
    </row>
    <row r="289" spans="4:17" s="19" customFormat="1">
      <c r="D289" s="115"/>
      <c r="M289" s="199"/>
      <c r="N289" s="199"/>
      <c r="O289" s="199"/>
      <c r="P289" s="199"/>
      <c r="Q289" s="199"/>
    </row>
    <row r="290" spans="4:17" s="19" customFormat="1">
      <c r="D290" s="115"/>
      <c r="M290" s="199"/>
      <c r="N290" s="199"/>
      <c r="O290" s="199"/>
      <c r="P290" s="199"/>
      <c r="Q290" s="199"/>
    </row>
    <row r="291" spans="4:17" s="19" customFormat="1">
      <c r="D291" s="115"/>
      <c r="M291" s="199"/>
      <c r="N291" s="199"/>
      <c r="O291" s="199"/>
      <c r="P291" s="199"/>
      <c r="Q291" s="199"/>
    </row>
    <row r="292" spans="4:17" s="19" customFormat="1">
      <c r="D292" s="115"/>
      <c r="M292" s="199"/>
      <c r="N292" s="199"/>
      <c r="O292" s="199"/>
      <c r="P292" s="199"/>
      <c r="Q292" s="199"/>
    </row>
    <row r="293" spans="4:17" s="19" customFormat="1">
      <c r="D293" s="115"/>
      <c r="M293" s="199"/>
      <c r="N293" s="199"/>
      <c r="O293" s="199"/>
      <c r="P293" s="199"/>
      <c r="Q293" s="199"/>
    </row>
    <row r="294" spans="4:17" s="19" customFormat="1">
      <c r="D294" s="115"/>
      <c r="M294" s="199"/>
      <c r="N294" s="199"/>
      <c r="O294" s="199"/>
      <c r="P294" s="199"/>
      <c r="Q294" s="199"/>
    </row>
    <row r="295" spans="4:17" s="19" customFormat="1">
      <c r="D295" s="115"/>
      <c r="M295" s="199"/>
      <c r="N295" s="199"/>
      <c r="O295" s="199"/>
      <c r="P295" s="199"/>
      <c r="Q295" s="199"/>
    </row>
    <row r="296" spans="4:17" s="19" customFormat="1">
      <c r="D296" s="115"/>
      <c r="M296" s="199"/>
      <c r="N296" s="199"/>
      <c r="O296" s="199"/>
      <c r="P296" s="199"/>
      <c r="Q296" s="199"/>
    </row>
    <row r="297" spans="4:17" s="19" customFormat="1">
      <c r="D297" s="115"/>
      <c r="M297" s="199"/>
      <c r="N297" s="199"/>
      <c r="O297" s="199"/>
      <c r="P297" s="199"/>
      <c r="Q297" s="199"/>
    </row>
    <row r="298" spans="4:17" s="19" customFormat="1">
      <c r="D298" s="115"/>
      <c r="M298" s="199"/>
      <c r="N298" s="199"/>
      <c r="O298" s="199"/>
      <c r="P298" s="199"/>
      <c r="Q298" s="199"/>
    </row>
    <row r="299" spans="4:17" s="19" customFormat="1">
      <c r="D299" s="115"/>
      <c r="M299" s="199"/>
      <c r="N299" s="199"/>
      <c r="O299" s="199"/>
      <c r="P299" s="199"/>
      <c r="Q299" s="199"/>
    </row>
    <row r="300" spans="4:17" s="19" customFormat="1">
      <c r="D300" s="115"/>
      <c r="M300" s="199"/>
      <c r="N300" s="199"/>
      <c r="O300" s="199"/>
      <c r="P300" s="199"/>
      <c r="Q300" s="199"/>
    </row>
    <row r="301" spans="4:17" s="19" customFormat="1">
      <c r="D301" s="115"/>
      <c r="M301" s="199"/>
      <c r="N301" s="199"/>
      <c r="O301" s="199"/>
      <c r="P301" s="199"/>
      <c r="Q301" s="199"/>
    </row>
    <row r="302" spans="4:17" s="19" customFormat="1">
      <c r="D302" s="115"/>
      <c r="M302" s="199"/>
      <c r="N302" s="199"/>
      <c r="O302" s="199"/>
      <c r="P302" s="199"/>
      <c r="Q302" s="199"/>
    </row>
    <row r="303" spans="4:17" s="19" customFormat="1">
      <c r="D303" s="115"/>
      <c r="M303" s="199"/>
      <c r="N303" s="199"/>
      <c r="O303" s="199"/>
      <c r="P303" s="199"/>
      <c r="Q303" s="199"/>
    </row>
    <row r="304" spans="4:17" s="19" customFormat="1">
      <c r="D304" s="115"/>
      <c r="M304" s="199"/>
      <c r="N304" s="199"/>
      <c r="O304" s="199"/>
      <c r="P304" s="199"/>
      <c r="Q304" s="199"/>
    </row>
    <row r="305" spans="4:17" s="19" customFormat="1">
      <c r="D305" s="115"/>
      <c r="M305" s="199"/>
      <c r="N305" s="199"/>
      <c r="O305" s="199"/>
      <c r="P305" s="199"/>
      <c r="Q305" s="199"/>
    </row>
    <row r="306" spans="4:17" s="19" customFormat="1">
      <c r="D306" s="115"/>
      <c r="M306" s="199"/>
      <c r="N306" s="199"/>
      <c r="O306" s="199"/>
      <c r="P306" s="199"/>
      <c r="Q306" s="199"/>
    </row>
    <row r="307" spans="4:17" s="19" customFormat="1">
      <c r="D307" s="115"/>
      <c r="M307" s="199"/>
      <c r="N307" s="199"/>
      <c r="O307" s="199"/>
      <c r="P307" s="199"/>
      <c r="Q307" s="199"/>
    </row>
    <row r="308" spans="4:17" s="19" customFormat="1">
      <c r="D308" s="115"/>
      <c r="M308" s="199"/>
      <c r="N308" s="199"/>
      <c r="O308" s="199"/>
      <c r="P308" s="199"/>
      <c r="Q308" s="199"/>
    </row>
    <row r="309" spans="4:17" s="19" customFormat="1">
      <c r="D309" s="115"/>
      <c r="M309" s="199"/>
      <c r="N309" s="199"/>
      <c r="O309" s="199"/>
      <c r="P309" s="199"/>
      <c r="Q309" s="199"/>
    </row>
    <row r="310" spans="4:17" s="19" customFormat="1">
      <c r="D310" s="115"/>
      <c r="M310" s="199"/>
      <c r="N310" s="199"/>
      <c r="O310" s="199"/>
      <c r="P310" s="199"/>
      <c r="Q310" s="199"/>
    </row>
    <row r="311" spans="4:17" s="19" customFormat="1">
      <c r="D311" s="115"/>
      <c r="M311" s="199"/>
      <c r="N311" s="199"/>
      <c r="O311" s="199"/>
      <c r="P311" s="199"/>
      <c r="Q311" s="199"/>
    </row>
    <row r="312" spans="4:17" s="19" customFormat="1">
      <c r="D312" s="115"/>
      <c r="M312" s="199"/>
      <c r="N312" s="199"/>
      <c r="O312" s="199"/>
      <c r="P312" s="199"/>
      <c r="Q312" s="199"/>
    </row>
    <row r="313" spans="4:17" s="19" customFormat="1">
      <c r="D313" s="115"/>
      <c r="M313" s="199"/>
      <c r="N313" s="199"/>
      <c r="O313" s="199"/>
      <c r="P313" s="199"/>
      <c r="Q313" s="199"/>
    </row>
    <row r="314" spans="4:17" s="19" customFormat="1">
      <c r="D314" s="115"/>
      <c r="M314" s="199"/>
      <c r="N314" s="199"/>
      <c r="O314" s="199"/>
      <c r="P314" s="199"/>
      <c r="Q314" s="199"/>
    </row>
    <row r="315" spans="4:17" s="19" customFormat="1">
      <c r="D315" s="115"/>
      <c r="M315" s="199"/>
      <c r="N315" s="199"/>
      <c r="O315" s="199"/>
      <c r="P315" s="199"/>
      <c r="Q315" s="199"/>
    </row>
    <row r="316" spans="4:17" s="19" customFormat="1">
      <c r="D316" s="115"/>
      <c r="M316" s="199"/>
      <c r="N316" s="199"/>
      <c r="O316" s="199"/>
      <c r="P316" s="199"/>
      <c r="Q316" s="199"/>
    </row>
    <row r="317" spans="4:17" s="19" customFormat="1">
      <c r="D317" s="115"/>
      <c r="M317" s="199"/>
      <c r="N317" s="199"/>
      <c r="O317" s="199"/>
      <c r="P317" s="199"/>
      <c r="Q317" s="199"/>
    </row>
    <row r="318" spans="4:17" s="19" customFormat="1">
      <c r="D318" s="115"/>
      <c r="M318" s="199"/>
      <c r="N318" s="199"/>
      <c r="O318" s="199"/>
      <c r="P318" s="199"/>
      <c r="Q318" s="199"/>
    </row>
    <row r="319" spans="4:17" s="19" customFormat="1">
      <c r="D319" s="115"/>
      <c r="M319" s="199"/>
      <c r="N319" s="199"/>
      <c r="O319" s="199"/>
      <c r="P319" s="199"/>
      <c r="Q319" s="199"/>
    </row>
    <row r="320" spans="4:17" s="19" customFormat="1">
      <c r="D320" s="115"/>
      <c r="M320" s="199"/>
      <c r="N320" s="199"/>
      <c r="O320" s="199"/>
      <c r="P320" s="199"/>
      <c r="Q320" s="199"/>
    </row>
    <row r="321" spans="4:17" s="19" customFormat="1">
      <c r="D321" s="115"/>
      <c r="M321" s="199"/>
      <c r="N321" s="199"/>
      <c r="O321" s="199"/>
      <c r="P321" s="199"/>
      <c r="Q321" s="199"/>
    </row>
    <row r="322" spans="4:17" s="19" customFormat="1">
      <c r="D322" s="115"/>
      <c r="M322" s="199"/>
      <c r="N322" s="199"/>
      <c r="O322" s="199"/>
      <c r="P322" s="199"/>
      <c r="Q322" s="199"/>
    </row>
    <row r="323" spans="4:17" s="19" customFormat="1">
      <c r="D323" s="115"/>
      <c r="M323" s="199"/>
      <c r="N323" s="199"/>
      <c r="O323" s="199"/>
      <c r="P323" s="199"/>
      <c r="Q323" s="199"/>
    </row>
    <row r="324" spans="4:17" s="19" customFormat="1">
      <c r="D324" s="115"/>
      <c r="M324" s="199"/>
      <c r="N324" s="199"/>
      <c r="O324" s="199"/>
      <c r="P324" s="199"/>
      <c r="Q324" s="199"/>
    </row>
    <row r="325" spans="4:17" s="19" customFormat="1">
      <c r="D325" s="115"/>
      <c r="M325" s="199"/>
      <c r="N325" s="199"/>
      <c r="O325" s="199"/>
      <c r="P325" s="199"/>
      <c r="Q325" s="199"/>
    </row>
    <row r="326" spans="4:17" s="19" customFormat="1">
      <c r="D326" s="115"/>
      <c r="M326" s="199"/>
      <c r="N326" s="199"/>
      <c r="O326" s="199"/>
      <c r="P326" s="199"/>
      <c r="Q326" s="199"/>
    </row>
    <row r="327" spans="4:17" s="19" customFormat="1">
      <c r="D327" s="115"/>
      <c r="M327" s="199"/>
      <c r="N327" s="199"/>
      <c r="O327" s="199"/>
      <c r="P327" s="199"/>
      <c r="Q327" s="199"/>
    </row>
    <row r="328" spans="4:17" s="19" customFormat="1">
      <c r="D328" s="115"/>
      <c r="M328" s="199"/>
      <c r="N328" s="199"/>
      <c r="O328" s="199"/>
      <c r="P328" s="199"/>
      <c r="Q328" s="199"/>
    </row>
    <row r="329" spans="4:17" s="19" customFormat="1">
      <c r="D329" s="115"/>
      <c r="M329" s="199"/>
      <c r="N329" s="199"/>
      <c r="O329" s="199"/>
      <c r="P329" s="199"/>
      <c r="Q329" s="199"/>
    </row>
    <row r="330" spans="4:17" s="19" customFormat="1">
      <c r="D330" s="115"/>
      <c r="M330" s="199"/>
      <c r="N330" s="199"/>
      <c r="O330" s="199"/>
      <c r="P330" s="199"/>
      <c r="Q330" s="199"/>
    </row>
    <row r="331" spans="4:17" s="19" customFormat="1">
      <c r="D331" s="115"/>
      <c r="M331" s="199"/>
      <c r="N331" s="199"/>
      <c r="O331" s="199"/>
      <c r="P331" s="199"/>
      <c r="Q331" s="199"/>
    </row>
    <row r="332" spans="4:17" s="19" customFormat="1">
      <c r="D332" s="115"/>
    </row>
    <row r="333" spans="4:17" s="19" customFormat="1">
      <c r="D333" s="115"/>
    </row>
    <row r="334" spans="4:17" s="19" customFormat="1">
      <c r="D334" s="115"/>
    </row>
    <row r="335" spans="4:17" s="19" customFormat="1">
      <c r="D335" s="115"/>
    </row>
    <row r="336" spans="4:17" s="19" customFormat="1">
      <c r="D336" s="115"/>
    </row>
    <row r="337" spans="4:4" s="19" customFormat="1">
      <c r="D337" s="115"/>
    </row>
    <row r="338" spans="4:4" s="19" customFormat="1">
      <c r="D338" s="115"/>
    </row>
    <row r="339" spans="4:4" s="19" customFormat="1">
      <c r="D339" s="115"/>
    </row>
    <row r="340" spans="4:4" s="19" customFormat="1">
      <c r="D340" s="115"/>
    </row>
    <row r="341" spans="4:4" s="19" customFormat="1">
      <c r="D341" s="115"/>
    </row>
    <row r="342" spans="4:4" s="19" customFormat="1">
      <c r="D342" s="115"/>
    </row>
    <row r="343" spans="4:4" s="19" customFormat="1">
      <c r="D343" s="115"/>
    </row>
    <row r="344" spans="4:4" s="19" customFormat="1">
      <c r="D344" s="115"/>
    </row>
    <row r="345" spans="4:4" s="19" customFormat="1">
      <c r="D345" s="115"/>
    </row>
    <row r="346" spans="4:4" s="19" customFormat="1">
      <c r="D346" s="115"/>
    </row>
    <row r="347" spans="4:4" s="19" customFormat="1">
      <c r="D347" s="115"/>
    </row>
    <row r="348" spans="4:4" s="19" customFormat="1">
      <c r="D348" s="115"/>
    </row>
    <row r="349" spans="4:4" s="19" customFormat="1">
      <c r="D349" s="115"/>
    </row>
    <row r="350" spans="4:4" s="19" customFormat="1">
      <c r="D350" s="115"/>
    </row>
    <row r="351" spans="4:4" s="19" customFormat="1">
      <c r="D351" s="115"/>
    </row>
    <row r="352" spans="4:4" s="19" customFormat="1">
      <c r="D352" s="115"/>
    </row>
    <row r="353" spans="4:4" s="19" customFormat="1">
      <c r="D353" s="115"/>
    </row>
    <row r="354" spans="4:4" s="19" customFormat="1">
      <c r="D354" s="115"/>
    </row>
    <row r="355" spans="4:4" s="19" customFormat="1">
      <c r="D355" s="115"/>
    </row>
    <row r="356" spans="4:4" s="19" customFormat="1">
      <c r="D356" s="115"/>
    </row>
    <row r="357" spans="4:4" s="19" customFormat="1">
      <c r="D357" s="115"/>
    </row>
    <row r="358" spans="4:4" s="19" customFormat="1">
      <c r="D358" s="115"/>
    </row>
    <row r="359" spans="4:4" s="19" customFormat="1">
      <c r="D359" s="115"/>
    </row>
    <row r="360" spans="4:4" s="19" customFormat="1">
      <c r="D360" s="115"/>
    </row>
    <row r="361" spans="4:4" s="19" customFormat="1">
      <c r="D361" s="115"/>
    </row>
    <row r="362" spans="4:4" s="19" customFormat="1">
      <c r="D362" s="115"/>
    </row>
    <row r="363" spans="4:4" s="19" customFormat="1">
      <c r="D363" s="115"/>
    </row>
    <row r="364" spans="4:4" s="19" customFormat="1">
      <c r="D364" s="115"/>
    </row>
    <row r="365" spans="4:4" s="19" customFormat="1">
      <c r="D365" s="115"/>
    </row>
    <row r="366" spans="4:4" s="19" customFormat="1">
      <c r="D366" s="115"/>
    </row>
    <row r="367" spans="4:4" s="19" customFormat="1">
      <c r="D367" s="115"/>
    </row>
    <row r="368" spans="4:4" s="19" customFormat="1">
      <c r="D368" s="115"/>
    </row>
    <row r="369" spans="4:4" s="19" customFormat="1">
      <c r="D369" s="115"/>
    </row>
    <row r="370" spans="4:4" s="19" customFormat="1">
      <c r="D370" s="115"/>
    </row>
    <row r="371" spans="4:4" s="19" customFormat="1">
      <c r="D371" s="115"/>
    </row>
    <row r="372" spans="4:4" s="19" customFormat="1">
      <c r="D372" s="115"/>
    </row>
    <row r="373" spans="4:4" s="19" customFormat="1">
      <c r="D373" s="115"/>
    </row>
    <row r="374" spans="4:4" s="19" customFormat="1">
      <c r="D374" s="115"/>
    </row>
    <row r="375" spans="4:4" s="19" customFormat="1">
      <c r="D375" s="115"/>
    </row>
    <row r="376" spans="4:4" s="19" customFormat="1">
      <c r="D376" s="115"/>
    </row>
    <row r="377" spans="4:4" s="19" customFormat="1">
      <c r="D377" s="115"/>
    </row>
    <row r="378" spans="4:4" s="19" customFormat="1">
      <c r="D378" s="115"/>
    </row>
    <row r="379" spans="4:4" s="19" customFormat="1">
      <c r="D379" s="115"/>
    </row>
    <row r="380" spans="4:4" s="19" customFormat="1">
      <c r="D380" s="115"/>
    </row>
    <row r="381" spans="4:4" s="19" customFormat="1">
      <c r="D381" s="115"/>
    </row>
    <row r="382" spans="4:4" s="19" customFormat="1">
      <c r="D382" s="115"/>
    </row>
    <row r="383" spans="4:4" s="19" customFormat="1">
      <c r="D383" s="115"/>
    </row>
    <row r="384" spans="4:4" s="19" customFormat="1">
      <c r="D384" s="115"/>
    </row>
    <row r="385" spans="4:4" s="19" customFormat="1">
      <c r="D385" s="115"/>
    </row>
    <row r="386" spans="4:4" s="19" customFormat="1">
      <c r="D386" s="115"/>
    </row>
    <row r="387" spans="4:4" s="19" customFormat="1">
      <c r="D387" s="115"/>
    </row>
    <row r="388" spans="4:4" s="19" customFormat="1">
      <c r="D388" s="115"/>
    </row>
    <row r="389" spans="4:4" s="19" customFormat="1">
      <c r="D389" s="115"/>
    </row>
    <row r="390" spans="4:4" s="19" customFormat="1">
      <c r="D390" s="115"/>
    </row>
    <row r="391" spans="4:4" s="19" customFormat="1">
      <c r="D391" s="115"/>
    </row>
    <row r="392" spans="4:4" s="19" customFormat="1">
      <c r="D392" s="115"/>
    </row>
    <row r="393" spans="4:4" s="19" customFormat="1">
      <c r="D393" s="115"/>
    </row>
    <row r="394" spans="4:4" s="19" customFormat="1">
      <c r="D394" s="115"/>
    </row>
    <row r="395" spans="4:4" s="19" customFormat="1">
      <c r="D395" s="115"/>
    </row>
    <row r="396" spans="4:4" s="19" customFormat="1">
      <c r="D396" s="115"/>
    </row>
    <row r="397" spans="4:4" s="19" customFormat="1">
      <c r="D397" s="115"/>
    </row>
    <row r="398" spans="4:4" s="19" customFormat="1">
      <c r="D398" s="115"/>
    </row>
    <row r="399" spans="4:4" s="19" customFormat="1">
      <c r="D399" s="115"/>
    </row>
    <row r="400" spans="4:4" s="19" customFormat="1">
      <c r="D400" s="115"/>
    </row>
    <row r="401" spans="4:4" s="19" customFormat="1">
      <c r="D401" s="115"/>
    </row>
    <row r="402" spans="4:4" s="19" customFormat="1">
      <c r="D402" s="115"/>
    </row>
    <row r="403" spans="4:4" s="19" customFormat="1">
      <c r="D403" s="115"/>
    </row>
    <row r="404" spans="4:4" s="19" customFormat="1">
      <c r="D404" s="115"/>
    </row>
    <row r="405" spans="4:4" s="19" customFormat="1">
      <c r="D405" s="115"/>
    </row>
    <row r="406" spans="4:4" s="19" customFormat="1">
      <c r="D406" s="115"/>
    </row>
    <row r="407" spans="4:4" s="19" customFormat="1">
      <c r="D407" s="115"/>
    </row>
    <row r="408" spans="4:4" s="19" customFormat="1">
      <c r="D408" s="115"/>
    </row>
    <row r="409" spans="4:4" s="19" customFormat="1">
      <c r="D409" s="115"/>
    </row>
    <row r="410" spans="4:4" s="19" customFormat="1">
      <c r="D410" s="115"/>
    </row>
    <row r="411" spans="4:4" s="19" customFormat="1">
      <c r="D411" s="115"/>
    </row>
    <row r="412" spans="4:4" s="19" customFormat="1">
      <c r="D412" s="115"/>
    </row>
    <row r="413" spans="4:4" s="19" customFormat="1">
      <c r="D413" s="115"/>
    </row>
    <row r="414" spans="4:4" s="19" customFormat="1">
      <c r="D414" s="115"/>
    </row>
    <row r="415" spans="4:4" s="19" customFormat="1">
      <c r="D415" s="115"/>
    </row>
    <row r="416" spans="4:4" s="19" customFormat="1">
      <c r="D416" s="115"/>
    </row>
    <row r="417" spans="4:4" s="19" customFormat="1">
      <c r="D417" s="115"/>
    </row>
    <row r="418" spans="4:4" s="19" customFormat="1">
      <c r="D418" s="115"/>
    </row>
    <row r="419" spans="4:4" s="19" customFormat="1">
      <c r="D419" s="115"/>
    </row>
    <row r="420" spans="4:4" s="19" customFormat="1">
      <c r="D420" s="115"/>
    </row>
    <row r="421" spans="4:4" s="19" customFormat="1">
      <c r="D421" s="115"/>
    </row>
    <row r="422" spans="4:4" s="19" customFormat="1">
      <c r="D422" s="115"/>
    </row>
    <row r="423" spans="4:4" s="19" customFormat="1">
      <c r="D423" s="115"/>
    </row>
    <row r="424" spans="4:4" s="19" customFormat="1">
      <c r="D424" s="115"/>
    </row>
    <row r="425" spans="4:4" s="19" customFormat="1">
      <c r="D425" s="115"/>
    </row>
    <row r="426" spans="4:4" s="19" customFormat="1">
      <c r="D426" s="115"/>
    </row>
    <row r="427" spans="4:4" s="19" customFormat="1">
      <c r="D427" s="115"/>
    </row>
    <row r="428" spans="4:4" s="19" customFormat="1">
      <c r="D428" s="115"/>
    </row>
    <row r="429" spans="4:4" s="19" customFormat="1">
      <c r="D429" s="115"/>
    </row>
    <row r="430" spans="4:4" s="19" customFormat="1">
      <c r="D430" s="115"/>
    </row>
    <row r="431" spans="4:4" s="19" customFormat="1">
      <c r="D431" s="115"/>
    </row>
    <row r="432" spans="4:4" s="19" customFormat="1">
      <c r="D432" s="115"/>
    </row>
    <row r="433" spans="4:4" s="19" customFormat="1">
      <c r="D433" s="115"/>
    </row>
    <row r="434" spans="4:4" s="19" customFormat="1">
      <c r="D434" s="115"/>
    </row>
    <row r="435" spans="4:4" s="19" customFormat="1">
      <c r="D435" s="115"/>
    </row>
    <row r="436" spans="4:4" s="19" customFormat="1">
      <c r="D436" s="115"/>
    </row>
    <row r="437" spans="4:4" s="19" customFormat="1">
      <c r="D437" s="115"/>
    </row>
    <row r="438" spans="4:4" s="19" customFormat="1">
      <c r="D438" s="115"/>
    </row>
    <row r="439" spans="4:4" s="19" customFormat="1">
      <c r="D439" s="115"/>
    </row>
    <row r="440" spans="4:4" s="19" customFormat="1">
      <c r="D440" s="115"/>
    </row>
    <row r="441" spans="4:4" s="19" customFormat="1">
      <c r="D441" s="115"/>
    </row>
    <row r="442" spans="4:4" s="19" customFormat="1">
      <c r="D442" s="115"/>
    </row>
    <row r="443" spans="4:4" s="19" customFormat="1">
      <c r="D443" s="115"/>
    </row>
    <row r="444" spans="4:4" s="19" customFormat="1">
      <c r="D444" s="115"/>
    </row>
    <row r="445" spans="4:4" s="19" customFormat="1">
      <c r="D445" s="115"/>
    </row>
    <row r="446" spans="4:4" s="19" customFormat="1">
      <c r="D446" s="115"/>
    </row>
    <row r="447" spans="4:4" s="19" customFormat="1">
      <c r="D447" s="115"/>
    </row>
    <row r="448" spans="4:4" s="19" customFormat="1">
      <c r="D448" s="115"/>
    </row>
    <row r="449" spans="4:4" s="19" customFormat="1">
      <c r="D449" s="115"/>
    </row>
    <row r="450" spans="4:4" s="19" customFormat="1">
      <c r="D450" s="115"/>
    </row>
    <row r="451" spans="4:4" s="19" customFormat="1">
      <c r="D451" s="115"/>
    </row>
    <row r="452" spans="4:4" s="19" customFormat="1">
      <c r="D452" s="115"/>
    </row>
    <row r="453" spans="4:4" s="19" customFormat="1">
      <c r="D453" s="115"/>
    </row>
    <row r="454" spans="4:4" s="19" customFormat="1">
      <c r="D454" s="115"/>
    </row>
    <row r="455" spans="4:4" s="19" customFormat="1">
      <c r="D455" s="115"/>
    </row>
    <row r="456" spans="4:4" s="19" customFormat="1">
      <c r="D456" s="115"/>
    </row>
    <row r="457" spans="4:4" s="19" customFormat="1">
      <c r="D457" s="115"/>
    </row>
    <row r="458" spans="4:4" s="19" customFormat="1">
      <c r="D458" s="115"/>
    </row>
    <row r="459" spans="4:4" s="19" customFormat="1">
      <c r="D459" s="115"/>
    </row>
    <row r="460" spans="4:4" s="19" customFormat="1">
      <c r="D460" s="115"/>
    </row>
    <row r="461" spans="4:4" s="19" customFormat="1">
      <c r="D461" s="115"/>
    </row>
    <row r="462" spans="4:4" s="19" customFormat="1">
      <c r="D462" s="115"/>
    </row>
    <row r="463" spans="4:4" s="19" customFormat="1">
      <c r="D463" s="115"/>
    </row>
    <row r="464" spans="4:4" s="19" customFormat="1">
      <c r="D464" s="115"/>
    </row>
    <row r="465" spans="4:4" s="19" customFormat="1">
      <c r="D465" s="115"/>
    </row>
    <row r="466" spans="4:4" s="19" customFormat="1">
      <c r="D466" s="115"/>
    </row>
    <row r="467" spans="4:4" s="19" customFormat="1">
      <c r="D467" s="115"/>
    </row>
    <row r="468" spans="4:4" s="19" customFormat="1">
      <c r="D468" s="115"/>
    </row>
    <row r="469" spans="4:4" s="19" customFormat="1">
      <c r="D469" s="115"/>
    </row>
    <row r="470" spans="4:4" s="19" customFormat="1">
      <c r="D470" s="115"/>
    </row>
    <row r="471" spans="4:4" s="19" customFormat="1">
      <c r="D471" s="115"/>
    </row>
    <row r="472" spans="4:4" s="19" customFormat="1">
      <c r="D472" s="115"/>
    </row>
    <row r="473" spans="4:4" s="19" customFormat="1">
      <c r="D473" s="115"/>
    </row>
    <row r="474" spans="4:4" s="19" customFormat="1">
      <c r="D474" s="115"/>
    </row>
    <row r="475" spans="4:4" s="19" customFormat="1">
      <c r="D475" s="115"/>
    </row>
    <row r="476" spans="4:4" s="19" customFormat="1">
      <c r="D476" s="115"/>
    </row>
    <row r="477" spans="4:4" s="19" customFormat="1">
      <c r="D477" s="115"/>
    </row>
    <row r="478" spans="4:4" s="19" customFormat="1">
      <c r="D478" s="115"/>
    </row>
    <row r="479" spans="4:4" s="19" customFormat="1">
      <c r="D479" s="115"/>
    </row>
    <row r="480" spans="4:4" s="19" customFormat="1">
      <c r="D480" s="115"/>
    </row>
    <row r="481" spans="4:4" s="19" customFormat="1">
      <c r="D481" s="115"/>
    </row>
    <row r="482" spans="4:4" s="19" customFormat="1">
      <c r="D482" s="115"/>
    </row>
    <row r="483" spans="4:4" s="19" customFormat="1">
      <c r="D483" s="115"/>
    </row>
    <row r="484" spans="4:4" s="19" customFormat="1">
      <c r="D484" s="115"/>
    </row>
    <row r="485" spans="4:4" s="19" customFormat="1">
      <c r="D485" s="115"/>
    </row>
    <row r="486" spans="4:4" s="19" customFormat="1">
      <c r="D486" s="115"/>
    </row>
    <row r="487" spans="4:4" s="19" customFormat="1">
      <c r="D487" s="115"/>
    </row>
    <row r="488" spans="4:4" s="19" customFormat="1">
      <c r="D488" s="115"/>
    </row>
    <row r="489" spans="4:4" s="19" customFormat="1">
      <c r="D489" s="115"/>
    </row>
    <row r="490" spans="4:4" s="19" customFormat="1">
      <c r="D490" s="115"/>
    </row>
    <row r="491" spans="4:4" s="19" customFormat="1">
      <c r="D491" s="115"/>
    </row>
    <row r="492" spans="4:4" s="19" customFormat="1">
      <c r="D492" s="115"/>
    </row>
    <row r="493" spans="4:4" s="19" customFormat="1">
      <c r="D493" s="115"/>
    </row>
    <row r="494" spans="4:4" s="19" customFormat="1">
      <c r="D494" s="115"/>
    </row>
    <row r="495" spans="4:4" s="19" customFormat="1">
      <c r="D495" s="115"/>
    </row>
    <row r="496" spans="4:4" s="19" customFormat="1">
      <c r="D496" s="115"/>
    </row>
    <row r="497" spans="4:4" s="19" customFormat="1">
      <c r="D497" s="115"/>
    </row>
    <row r="498" spans="4:4" s="19" customFormat="1">
      <c r="D498" s="115"/>
    </row>
    <row r="499" spans="4:4" s="19" customFormat="1">
      <c r="D499" s="115"/>
    </row>
    <row r="500" spans="4:4" s="19" customFormat="1">
      <c r="D500" s="115"/>
    </row>
    <row r="501" spans="4:4" s="19" customFormat="1">
      <c r="D501" s="115"/>
    </row>
    <row r="502" spans="4:4" s="19" customFormat="1">
      <c r="D502" s="115"/>
    </row>
    <row r="503" spans="4:4" s="19" customFormat="1">
      <c r="D503" s="115"/>
    </row>
    <row r="504" spans="4:4" s="19" customFormat="1">
      <c r="D504" s="115"/>
    </row>
    <row r="505" spans="4:4" s="19" customFormat="1">
      <c r="D505" s="115"/>
    </row>
    <row r="506" spans="4:4" s="19" customFormat="1">
      <c r="D506" s="115"/>
    </row>
    <row r="507" spans="4:4" s="19" customFormat="1">
      <c r="D507" s="115"/>
    </row>
    <row r="508" spans="4:4" s="19" customFormat="1">
      <c r="D508" s="115"/>
    </row>
    <row r="509" spans="4:4" s="19" customFormat="1">
      <c r="D509" s="115"/>
    </row>
    <row r="510" spans="4:4" s="19" customFormat="1">
      <c r="D510" s="115"/>
    </row>
    <row r="511" spans="4:4" s="19" customFormat="1">
      <c r="D511" s="115"/>
    </row>
    <row r="512" spans="4:4" s="19" customFormat="1">
      <c r="D512" s="115"/>
    </row>
    <row r="513" spans="4:4" s="19" customFormat="1">
      <c r="D513" s="115"/>
    </row>
    <row r="514" spans="4:4" s="19" customFormat="1">
      <c r="D514" s="115"/>
    </row>
    <row r="515" spans="4:4" s="19" customFormat="1">
      <c r="D515" s="115"/>
    </row>
    <row r="516" spans="4:4" s="19" customFormat="1">
      <c r="D516" s="115"/>
    </row>
    <row r="517" spans="4:4" s="19" customFormat="1">
      <c r="D517" s="115"/>
    </row>
    <row r="518" spans="4:4" s="19" customFormat="1">
      <c r="D518" s="115"/>
    </row>
    <row r="519" spans="4:4" s="19" customFormat="1">
      <c r="D519" s="115"/>
    </row>
    <row r="520" spans="4:4" s="19" customFormat="1">
      <c r="D520" s="115"/>
    </row>
    <row r="521" spans="4:4" s="19" customFormat="1">
      <c r="D521" s="115"/>
    </row>
    <row r="522" spans="4:4" s="19" customFormat="1">
      <c r="D522" s="115"/>
    </row>
    <row r="523" spans="4:4" s="19" customFormat="1">
      <c r="D523" s="115"/>
    </row>
    <row r="524" spans="4:4" s="19" customFormat="1">
      <c r="D524" s="115"/>
    </row>
    <row r="525" spans="4:4" s="19" customFormat="1">
      <c r="D525" s="115"/>
    </row>
    <row r="526" spans="4:4" s="19" customFormat="1">
      <c r="D526" s="115"/>
    </row>
    <row r="527" spans="4:4" s="19" customFormat="1">
      <c r="D527" s="115"/>
    </row>
    <row r="528" spans="4:4" s="19" customFormat="1">
      <c r="D528" s="115"/>
    </row>
    <row r="529" spans="4:4" s="19" customFormat="1">
      <c r="D529" s="115"/>
    </row>
    <row r="530" spans="4:4" s="19" customFormat="1">
      <c r="D530" s="115"/>
    </row>
    <row r="531" spans="4:4" s="19" customFormat="1">
      <c r="D531" s="115"/>
    </row>
    <row r="532" spans="4:4" s="19" customFormat="1">
      <c r="D532" s="115"/>
    </row>
    <row r="533" spans="4:4" s="19" customFormat="1">
      <c r="D533" s="115"/>
    </row>
    <row r="534" spans="4:4" s="19" customFormat="1">
      <c r="D534" s="115"/>
    </row>
    <row r="535" spans="4:4" s="19" customFormat="1">
      <c r="D535" s="115"/>
    </row>
    <row r="536" spans="4:4" s="19" customFormat="1">
      <c r="D536" s="115"/>
    </row>
    <row r="537" spans="4:4" s="19" customFormat="1">
      <c r="D537" s="115"/>
    </row>
    <row r="538" spans="4:4" s="19" customFormat="1">
      <c r="D538" s="115"/>
    </row>
    <row r="539" spans="4:4" s="19" customFormat="1">
      <c r="D539" s="115"/>
    </row>
    <row r="540" spans="4:4" s="19" customFormat="1">
      <c r="D540" s="115"/>
    </row>
    <row r="541" spans="4:4" s="19" customFormat="1">
      <c r="D541" s="115"/>
    </row>
    <row r="542" spans="4:4" s="19" customFormat="1">
      <c r="D542" s="115"/>
    </row>
    <row r="543" spans="4:4" s="19" customFormat="1">
      <c r="D543" s="115"/>
    </row>
    <row r="544" spans="4:4" s="19" customFormat="1">
      <c r="D544" s="115"/>
    </row>
    <row r="545" spans="4:4" s="19" customFormat="1">
      <c r="D545" s="115"/>
    </row>
    <row r="546" spans="4:4" s="19" customFormat="1">
      <c r="D546" s="115"/>
    </row>
    <row r="547" spans="4:4" s="19" customFormat="1">
      <c r="D547" s="115"/>
    </row>
    <row r="548" spans="4:4" s="19" customFormat="1">
      <c r="D548" s="115"/>
    </row>
    <row r="549" spans="4:4" s="19" customFormat="1">
      <c r="D549" s="115"/>
    </row>
    <row r="550" spans="4:4" s="19" customFormat="1">
      <c r="D550" s="115"/>
    </row>
    <row r="551" spans="4:4" s="19" customFormat="1">
      <c r="D551" s="115"/>
    </row>
    <row r="552" spans="4:4" s="19" customFormat="1">
      <c r="D552" s="115"/>
    </row>
    <row r="553" spans="4:4" s="19" customFormat="1">
      <c r="D553" s="115"/>
    </row>
    <row r="554" spans="4:4" s="19" customFormat="1">
      <c r="D554" s="115"/>
    </row>
    <row r="555" spans="4:4" s="19" customFormat="1">
      <c r="D555" s="115"/>
    </row>
    <row r="556" spans="4:4" s="19" customFormat="1">
      <c r="D556" s="115"/>
    </row>
    <row r="557" spans="4:4" s="19" customFormat="1">
      <c r="D557" s="115"/>
    </row>
    <row r="558" spans="4:4" s="19" customFormat="1">
      <c r="D558" s="115"/>
    </row>
    <row r="559" spans="4:4" s="19" customFormat="1">
      <c r="D559" s="115"/>
    </row>
    <row r="560" spans="4:4" s="19" customFormat="1">
      <c r="D560" s="115"/>
    </row>
    <row r="561" spans="4:4" s="19" customFormat="1">
      <c r="D561" s="115"/>
    </row>
    <row r="562" spans="4:4" s="19" customFormat="1">
      <c r="D562" s="115"/>
    </row>
    <row r="563" spans="4:4" s="19" customFormat="1">
      <c r="D563" s="115"/>
    </row>
    <row r="564" spans="4:4" s="19" customFormat="1">
      <c r="D564" s="115"/>
    </row>
    <row r="565" spans="4:4" s="19" customFormat="1">
      <c r="D565" s="115"/>
    </row>
    <row r="566" spans="4:4" s="19" customFormat="1">
      <c r="D566" s="115"/>
    </row>
    <row r="567" spans="4:4" s="19" customFormat="1">
      <c r="D567" s="115"/>
    </row>
    <row r="568" spans="4:4" s="19" customFormat="1">
      <c r="D568" s="115"/>
    </row>
    <row r="569" spans="4:4" s="19" customFormat="1">
      <c r="D569" s="115"/>
    </row>
    <row r="570" spans="4:4" s="19" customFormat="1">
      <c r="D570" s="115"/>
    </row>
    <row r="571" spans="4:4" s="19" customFormat="1">
      <c r="D571" s="115"/>
    </row>
    <row r="572" spans="4:4" s="19" customFormat="1">
      <c r="D572" s="115"/>
    </row>
    <row r="573" spans="4:4" s="19" customFormat="1">
      <c r="D573" s="115"/>
    </row>
    <row r="574" spans="4:4" s="19" customFormat="1">
      <c r="D574" s="115"/>
    </row>
    <row r="575" spans="4:4" s="19" customFormat="1">
      <c r="D575" s="115"/>
    </row>
    <row r="576" spans="4:4" s="19" customFormat="1">
      <c r="D576" s="115"/>
    </row>
    <row r="577" spans="4:4" s="19" customFormat="1">
      <c r="D577" s="115"/>
    </row>
    <row r="578" spans="4:4" s="19" customFormat="1">
      <c r="D578" s="115"/>
    </row>
    <row r="579" spans="4:4" s="19" customFormat="1">
      <c r="D579" s="115"/>
    </row>
    <row r="580" spans="4:4" s="19" customFormat="1">
      <c r="D580" s="115"/>
    </row>
    <row r="581" spans="4:4" s="19" customFormat="1">
      <c r="D581" s="115"/>
    </row>
    <row r="582" spans="4:4" s="19" customFormat="1">
      <c r="D582" s="115"/>
    </row>
    <row r="583" spans="4:4" s="19" customFormat="1">
      <c r="D583" s="115"/>
    </row>
    <row r="584" spans="4:4" s="19" customFormat="1">
      <c r="D584" s="115"/>
    </row>
    <row r="585" spans="4:4" s="19" customFormat="1">
      <c r="D585" s="115"/>
    </row>
    <row r="586" spans="4:4" s="19" customFormat="1">
      <c r="D586" s="115"/>
    </row>
    <row r="587" spans="4:4" s="19" customFormat="1">
      <c r="D587" s="115"/>
    </row>
    <row r="588" spans="4:4" s="19" customFormat="1">
      <c r="D588" s="115"/>
    </row>
    <row r="589" spans="4:4" s="19" customFormat="1">
      <c r="D589" s="115"/>
    </row>
    <row r="590" spans="4:4" s="19" customFormat="1">
      <c r="D590" s="115"/>
    </row>
    <row r="591" spans="4:4" s="19" customFormat="1">
      <c r="D591" s="115"/>
    </row>
    <row r="592" spans="4:4" s="19" customFormat="1">
      <c r="D592" s="115"/>
    </row>
    <row r="593" spans="4:4" s="19" customFormat="1">
      <c r="D593" s="115"/>
    </row>
    <row r="594" spans="4:4" s="19" customFormat="1">
      <c r="D594" s="115"/>
    </row>
    <row r="595" spans="4:4" s="19" customFormat="1">
      <c r="D595" s="115"/>
    </row>
    <row r="596" spans="4:4" s="19" customFormat="1">
      <c r="D596" s="115"/>
    </row>
    <row r="597" spans="4:4" s="19" customFormat="1">
      <c r="D597" s="115"/>
    </row>
    <row r="598" spans="4:4" s="19" customFormat="1">
      <c r="D598" s="115"/>
    </row>
    <row r="599" spans="4:4" s="19" customFormat="1">
      <c r="D599" s="115"/>
    </row>
    <row r="600" spans="4:4" s="19" customFormat="1">
      <c r="D600" s="115"/>
    </row>
    <row r="601" spans="4:4" s="19" customFormat="1">
      <c r="D601" s="115"/>
    </row>
    <row r="602" spans="4:4" s="19" customFormat="1">
      <c r="D602" s="115"/>
    </row>
    <row r="603" spans="4:4" s="19" customFormat="1">
      <c r="D603" s="115"/>
    </row>
    <row r="604" spans="4:4" s="19" customFormat="1">
      <c r="D604" s="115"/>
    </row>
    <row r="605" spans="4:4" s="19" customFormat="1">
      <c r="D605" s="115"/>
    </row>
    <row r="606" spans="4:4" s="19" customFormat="1">
      <c r="D606" s="115"/>
    </row>
    <row r="607" spans="4:4" s="19" customFormat="1">
      <c r="D607" s="115"/>
    </row>
    <row r="608" spans="4:4" s="19" customFormat="1">
      <c r="D608" s="115"/>
    </row>
    <row r="609" spans="4:4" s="19" customFormat="1">
      <c r="D609" s="115"/>
    </row>
    <row r="610" spans="4:4" s="19" customFormat="1">
      <c r="D610" s="115"/>
    </row>
    <row r="611" spans="4:4" s="19" customFormat="1">
      <c r="D611" s="115"/>
    </row>
    <row r="612" spans="4:4" s="19" customFormat="1">
      <c r="D612" s="115"/>
    </row>
    <row r="613" spans="4:4" s="19" customFormat="1">
      <c r="D613" s="115"/>
    </row>
    <row r="614" spans="4:4" s="19" customFormat="1">
      <c r="D614" s="115"/>
    </row>
    <row r="615" spans="4:4" s="19" customFormat="1">
      <c r="D615" s="115"/>
    </row>
    <row r="616" spans="4:4" s="19" customFormat="1">
      <c r="D616" s="115"/>
    </row>
    <row r="617" spans="4:4" s="19" customFormat="1">
      <c r="D617" s="115"/>
    </row>
    <row r="618" spans="4:4" s="19" customFormat="1">
      <c r="D618" s="115"/>
    </row>
    <row r="619" spans="4:4" s="19" customFormat="1">
      <c r="D619" s="115"/>
    </row>
    <row r="620" spans="4:4" s="19" customFormat="1">
      <c r="D620" s="115"/>
    </row>
    <row r="621" spans="4:4" s="19" customFormat="1">
      <c r="D621" s="115"/>
    </row>
    <row r="622" spans="4:4" s="19" customFormat="1">
      <c r="D622" s="115"/>
    </row>
    <row r="623" spans="4:4" s="19" customFormat="1">
      <c r="D623" s="115"/>
    </row>
    <row r="624" spans="4:4" s="19" customFormat="1">
      <c r="D624" s="115"/>
    </row>
    <row r="625" spans="4:4" s="19" customFormat="1">
      <c r="D625" s="115"/>
    </row>
    <row r="626" spans="4:4" s="19" customFormat="1">
      <c r="D626" s="115"/>
    </row>
    <row r="627" spans="4:4" s="19" customFormat="1">
      <c r="D627" s="115"/>
    </row>
    <row r="628" spans="4:4" s="19" customFormat="1">
      <c r="D628" s="115"/>
    </row>
    <row r="629" spans="4:4" s="19" customFormat="1">
      <c r="D629" s="115"/>
    </row>
    <row r="630" spans="4:4" s="19" customFormat="1">
      <c r="D630" s="115"/>
    </row>
    <row r="631" spans="4:4" s="19" customFormat="1">
      <c r="D631" s="115"/>
    </row>
    <row r="632" spans="4:4" s="19" customFormat="1">
      <c r="D632" s="115"/>
    </row>
    <row r="633" spans="4:4" s="19" customFormat="1">
      <c r="D633" s="115"/>
    </row>
    <row r="634" spans="4:4" s="19" customFormat="1">
      <c r="D634" s="115"/>
    </row>
    <row r="635" spans="4:4" s="19" customFormat="1">
      <c r="D635" s="115"/>
    </row>
    <row r="636" spans="4:4" s="19" customFormat="1">
      <c r="D636" s="115"/>
    </row>
    <row r="637" spans="4:4" s="19" customFormat="1">
      <c r="D637" s="115"/>
    </row>
    <row r="638" spans="4:4" s="19" customFormat="1">
      <c r="D638" s="115"/>
    </row>
    <row r="639" spans="4:4" s="19" customFormat="1">
      <c r="D639" s="115"/>
    </row>
    <row r="640" spans="4:4" s="19" customFormat="1">
      <c r="D640" s="115"/>
    </row>
    <row r="641" spans="4:4" s="19" customFormat="1">
      <c r="D641" s="115"/>
    </row>
    <row r="642" spans="4:4" s="19" customFormat="1">
      <c r="D642" s="115"/>
    </row>
    <row r="643" spans="4:4" s="19" customFormat="1">
      <c r="D643" s="115"/>
    </row>
    <row r="644" spans="4:4" s="19" customFormat="1">
      <c r="D644" s="115"/>
    </row>
    <row r="645" spans="4:4" s="19" customFormat="1">
      <c r="D645" s="115"/>
    </row>
    <row r="646" spans="4:4" s="19" customFormat="1">
      <c r="D646" s="115"/>
    </row>
    <row r="647" spans="4:4" s="19" customFormat="1">
      <c r="D647" s="115"/>
    </row>
    <row r="648" spans="4:4" s="19" customFormat="1">
      <c r="D648" s="115"/>
    </row>
    <row r="649" spans="4:4" s="19" customFormat="1">
      <c r="D649" s="115"/>
    </row>
    <row r="650" spans="4:4" s="19" customFormat="1">
      <c r="D650" s="115"/>
    </row>
    <row r="651" spans="4:4" s="19" customFormat="1">
      <c r="D651" s="115"/>
    </row>
    <row r="652" spans="4:4" s="19" customFormat="1">
      <c r="D652" s="115"/>
    </row>
    <row r="653" spans="4:4" s="19" customFormat="1">
      <c r="D653" s="115"/>
    </row>
    <row r="654" spans="4:4" s="19" customFormat="1">
      <c r="D654" s="115"/>
    </row>
    <row r="655" spans="4:4" s="19" customFormat="1">
      <c r="D655" s="115"/>
    </row>
    <row r="656" spans="4:4" s="19" customFormat="1">
      <c r="D656" s="115"/>
    </row>
    <row r="657" spans="4:4" s="19" customFormat="1">
      <c r="D657" s="115"/>
    </row>
    <row r="658" spans="4:4" s="19" customFormat="1">
      <c r="D658" s="115"/>
    </row>
    <row r="659" spans="4:4" s="19" customFormat="1">
      <c r="D659" s="115"/>
    </row>
    <row r="660" spans="4:4" s="19" customFormat="1">
      <c r="D660" s="115"/>
    </row>
    <row r="661" spans="4:4" s="19" customFormat="1">
      <c r="D661" s="115"/>
    </row>
    <row r="662" spans="4:4" s="19" customFormat="1">
      <c r="D662" s="115"/>
    </row>
    <row r="663" spans="4:4" s="19" customFormat="1">
      <c r="D663" s="115"/>
    </row>
    <row r="664" spans="4:4" s="19" customFormat="1">
      <c r="D664" s="115"/>
    </row>
    <row r="665" spans="4:4" s="19" customFormat="1">
      <c r="D665" s="115"/>
    </row>
    <row r="666" spans="4:4" s="19" customFormat="1">
      <c r="D666" s="115"/>
    </row>
    <row r="667" spans="4:4" s="19" customFormat="1">
      <c r="D667" s="115"/>
    </row>
    <row r="668" spans="4:4" s="19" customFormat="1">
      <c r="D668" s="115"/>
    </row>
    <row r="669" spans="4:4" s="19" customFormat="1">
      <c r="D669" s="115"/>
    </row>
    <row r="670" spans="4:4" s="19" customFormat="1">
      <c r="D670" s="115"/>
    </row>
    <row r="671" spans="4:4" s="19" customFormat="1">
      <c r="D671" s="115"/>
    </row>
    <row r="672" spans="4:4" s="19" customFormat="1">
      <c r="D672" s="115"/>
    </row>
    <row r="673" spans="4:4" s="19" customFormat="1">
      <c r="D673" s="115"/>
    </row>
    <row r="674" spans="4:4" s="19" customFormat="1">
      <c r="D674" s="115"/>
    </row>
    <row r="675" spans="4:4" s="19" customFormat="1">
      <c r="D675" s="115"/>
    </row>
    <row r="676" spans="4:4" s="19" customFormat="1">
      <c r="D676" s="115"/>
    </row>
    <row r="677" spans="4:4" s="19" customFormat="1">
      <c r="D677" s="115"/>
    </row>
    <row r="678" spans="4:4" s="19" customFormat="1">
      <c r="D678" s="115"/>
    </row>
    <row r="679" spans="4:4" s="19" customFormat="1">
      <c r="D679" s="115"/>
    </row>
    <row r="680" spans="4:4" s="19" customFormat="1">
      <c r="D680" s="115"/>
    </row>
    <row r="681" spans="4:4" s="19" customFormat="1">
      <c r="D681" s="115"/>
    </row>
    <row r="682" spans="4:4" s="19" customFormat="1">
      <c r="D682" s="115"/>
    </row>
    <row r="683" spans="4:4" s="19" customFormat="1">
      <c r="D683" s="115"/>
    </row>
    <row r="684" spans="4:4" s="19" customFormat="1">
      <c r="D684" s="115"/>
    </row>
    <row r="685" spans="4:4" s="19" customFormat="1">
      <c r="D685" s="115"/>
    </row>
    <row r="686" spans="4:4" s="19" customFormat="1">
      <c r="D686" s="115"/>
    </row>
    <row r="687" spans="4:4" s="19" customFormat="1">
      <c r="D687" s="115"/>
    </row>
    <row r="688" spans="4:4" s="19" customFormat="1">
      <c r="D688" s="115"/>
    </row>
    <row r="689" spans="4:4" s="19" customFormat="1">
      <c r="D689" s="115"/>
    </row>
    <row r="690" spans="4:4" s="19" customFormat="1">
      <c r="D690" s="115"/>
    </row>
    <row r="691" spans="4:4" s="19" customFormat="1">
      <c r="D691" s="115"/>
    </row>
    <row r="692" spans="4:4" s="19" customFormat="1">
      <c r="D692" s="115"/>
    </row>
    <row r="693" spans="4:4" s="19" customFormat="1">
      <c r="D693" s="115"/>
    </row>
    <row r="694" spans="4:4" s="19" customFormat="1">
      <c r="D694" s="115"/>
    </row>
    <row r="695" spans="4:4" s="19" customFormat="1">
      <c r="D695" s="115"/>
    </row>
    <row r="696" spans="4:4" s="19" customFormat="1">
      <c r="D696" s="115"/>
    </row>
    <row r="697" spans="4:4" s="19" customFormat="1">
      <c r="D697" s="115"/>
    </row>
    <row r="698" spans="4:4" s="19" customFormat="1">
      <c r="D698" s="115"/>
    </row>
    <row r="699" spans="4:4" s="19" customFormat="1">
      <c r="D699" s="115"/>
    </row>
    <row r="700" spans="4:4" s="19" customFormat="1">
      <c r="D700" s="115"/>
    </row>
    <row r="701" spans="4:4" s="19" customFormat="1">
      <c r="D701" s="115"/>
    </row>
    <row r="702" spans="4:4" s="19" customFormat="1">
      <c r="D702" s="115"/>
    </row>
    <row r="703" spans="4:4" s="19" customFormat="1">
      <c r="D703" s="115"/>
    </row>
    <row r="704" spans="4:4" s="19" customFormat="1">
      <c r="D704" s="115"/>
    </row>
    <row r="705" spans="4:4" s="19" customFormat="1">
      <c r="D705" s="115"/>
    </row>
    <row r="706" spans="4:4" s="19" customFormat="1">
      <c r="D706" s="115"/>
    </row>
    <row r="707" spans="4:4" s="19" customFormat="1">
      <c r="D707" s="115"/>
    </row>
    <row r="708" spans="4:4" s="19" customFormat="1">
      <c r="D708" s="115"/>
    </row>
    <row r="709" spans="4:4" s="19" customFormat="1">
      <c r="D709" s="115"/>
    </row>
    <row r="710" spans="4:4" s="19" customFormat="1">
      <c r="D710" s="115"/>
    </row>
    <row r="711" spans="4:4" s="19" customFormat="1">
      <c r="D711" s="115"/>
    </row>
    <row r="712" spans="4:4" s="19" customFormat="1">
      <c r="D712" s="115"/>
    </row>
    <row r="713" spans="4:4" s="19" customFormat="1">
      <c r="D713" s="115"/>
    </row>
    <row r="714" spans="4:4" s="19" customFormat="1">
      <c r="D714" s="115"/>
    </row>
    <row r="715" spans="4:4" s="19" customFormat="1">
      <c r="D715" s="115"/>
    </row>
    <row r="716" spans="4:4" s="19" customFormat="1">
      <c r="D716" s="115"/>
    </row>
    <row r="717" spans="4:4" s="19" customFormat="1">
      <c r="D717" s="115"/>
    </row>
    <row r="718" spans="4:4" s="19" customFormat="1">
      <c r="D718" s="115"/>
    </row>
    <row r="719" spans="4:4" s="19" customFormat="1">
      <c r="D719" s="115"/>
    </row>
    <row r="720" spans="4:4" s="19" customFormat="1">
      <c r="D720" s="115"/>
    </row>
    <row r="721" spans="4:4" s="19" customFormat="1">
      <c r="D721" s="115"/>
    </row>
    <row r="722" spans="4:4" s="19" customFormat="1">
      <c r="D722" s="115"/>
    </row>
    <row r="723" spans="4:4" s="19" customFormat="1">
      <c r="D723" s="115"/>
    </row>
    <row r="724" spans="4:4" s="19" customFormat="1">
      <c r="D724" s="115"/>
    </row>
    <row r="725" spans="4:4" s="19" customFormat="1">
      <c r="D725" s="115"/>
    </row>
    <row r="726" spans="4:4" s="19" customFormat="1">
      <c r="D726" s="115"/>
    </row>
    <row r="727" spans="4:4" s="19" customFormat="1">
      <c r="D727" s="115"/>
    </row>
    <row r="728" spans="4:4" s="19" customFormat="1">
      <c r="D728" s="115"/>
    </row>
    <row r="729" spans="4:4" s="19" customFormat="1">
      <c r="D729" s="115"/>
    </row>
    <row r="730" spans="4:4" s="19" customFormat="1">
      <c r="D730" s="115"/>
    </row>
    <row r="731" spans="4:4" s="19" customFormat="1">
      <c r="D731" s="115"/>
    </row>
    <row r="732" spans="4:4" s="19" customFormat="1">
      <c r="D732" s="115"/>
    </row>
    <row r="733" spans="4:4" s="19" customFormat="1">
      <c r="D733" s="115"/>
    </row>
    <row r="734" spans="4:4" s="19" customFormat="1">
      <c r="D734" s="115"/>
    </row>
    <row r="735" spans="4:4" s="19" customFormat="1">
      <c r="D735" s="115"/>
    </row>
    <row r="736" spans="4:4" s="19" customFormat="1">
      <c r="D736" s="115"/>
    </row>
    <row r="737" spans="4:4" s="19" customFormat="1">
      <c r="D737" s="115"/>
    </row>
    <row r="738" spans="4:4" s="19" customFormat="1">
      <c r="D738" s="115"/>
    </row>
    <row r="739" spans="4:4" s="19" customFormat="1">
      <c r="D739" s="115"/>
    </row>
    <row r="740" spans="4:4" s="19" customFormat="1">
      <c r="D740" s="115"/>
    </row>
    <row r="741" spans="4:4" s="19" customFormat="1">
      <c r="D741" s="115"/>
    </row>
    <row r="742" spans="4:4" s="19" customFormat="1">
      <c r="D742" s="115"/>
    </row>
    <row r="743" spans="4:4" s="19" customFormat="1">
      <c r="D743" s="115"/>
    </row>
    <row r="744" spans="4:4" s="19" customFormat="1">
      <c r="D744" s="115"/>
    </row>
    <row r="745" spans="4:4" s="19" customFormat="1">
      <c r="D745" s="115"/>
    </row>
    <row r="746" spans="4:4" s="19" customFormat="1">
      <c r="D746" s="115"/>
    </row>
    <row r="747" spans="4:4" s="19" customFormat="1">
      <c r="D747" s="115"/>
    </row>
    <row r="748" spans="4:4" s="19" customFormat="1">
      <c r="D748" s="115"/>
    </row>
    <row r="749" spans="4:4" s="19" customFormat="1">
      <c r="D749" s="115"/>
    </row>
    <row r="750" spans="4:4" s="19" customFormat="1">
      <c r="D750" s="115"/>
    </row>
    <row r="751" spans="4:4" s="19" customFormat="1">
      <c r="D751" s="115"/>
    </row>
    <row r="752" spans="4:4" s="19" customFormat="1">
      <c r="D752" s="115"/>
    </row>
    <row r="753" spans="4:4" s="19" customFormat="1">
      <c r="D753" s="115"/>
    </row>
    <row r="754" spans="4:4" s="19" customFormat="1">
      <c r="D754" s="115"/>
    </row>
    <row r="755" spans="4:4" s="19" customFormat="1">
      <c r="D755" s="115"/>
    </row>
    <row r="756" spans="4:4" s="19" customFormat="1">
      <c r="D756" s="115"/>
    </row>
    <row r="757" spans="4:4" s="19" customFormat="1">
      <c r="D757" s="115"/>
    </row>
    <row r="758" spans="4:4" s="19" customFormat="1">
      <c r="D758" s="115"/>
    </row>
    <row r="759" spans="4:4" s="19" customFormat="1">
      <c r="D759" s="115"/>
    </row>
    <row r="760" spans="4:4" s="19" customFormat="1">
      <c r="D760" s="115"/>
    </row>
    <row r="761" spans="4:4" s="19" customFormat="1">
      <c r="D761" s="115"/>
    </row>
    <row r="762" spans="4:4" s="19" customFormat="1">
      <c r="D762" s="115"/>
    </row>
    <row r="763" spans="4:4" s="19" customFormat="1">
      <c r="D763" s="115"/>
    </row>
    <row r="764" spans="4:4" s="19" customFormat="1">
      <c r="D764" s="115"/>
    </row>
    <row r="765" spans="4:4" s="19" customFormat="1">
      <c r="D765" s="115"/>
    </row>
    <row r="766" spans="4:4" s="19" customFormat="1">
      <c r="D766" s="115"/>
    </row>
    <row r="767" spans="4:4" s="19" customFormat="1">
      <c r="D767" s="115"/>
    </row>
    <row r="768" spans="4:4" s="19" customFormat="1">
      <c r="D768" s="115"/>
    </row>
    <row r="769" spans="4:4" s="19" customFormat="1">
      <c r="D769" s="115"/>
    </row>
    <row r="770" spans="4:4" s="19" customFormat="1">
      <c r="D770" s="115"/>
    </row>
    <row r="771" spans="4:4" s="19" customFormat="1">
      <c r="D771" s="115"/>
    </row>
    <row r="772" spans="4:4" s="19" customFormat="1">
      <c r="D772" s="115"/>
    </row>
    <row r="773" spans="4:4" s="19" customFormat="1">
      <c r="D773" s="115"/>
    </row>
    <row r="774" spans="4:4" s="19" customFormat="1">
      <c r="D774" s="115"/>
    </row>
    <row r="775" spans="4:4" s="19" customFormat="1">
      <c r="D775" s="115"/>
    </row>
    <row r="776" spans="4:4" s="19" customFormat="1">
      <c r="D776" s="115"/>
    </row>
    <row r="777" spans="4:4" s="19" customFormat="1">
      <c r="D777" s="115"/>
    </row>
    <row r="778" spans="4:4" s="19" customFormat="1">
      <c r="D778" s="115"/>
    </row>
    <row r="779" spans="4:4" s="19" customFormat="1">
      <c r="D779" s="115"/>
    </row>
    <row r="780" spans="4:4" s="19" customFormat="1">
      <c r="D780" s="115"/>
    </row>
    <row r="781" spans="4:4" s="19" customFormat="1">
      <c r="D781" s="115"/>
    </row>
    <row r="782" spans="4:4" s="19" customFormat="1">
      <c r="D782" s="115"/>
    </row>
    <row r="783" spans="4:4" s="19" customFormat="1">
      <c r="D783" s="115"/>
    </row>
    <row r="784" spans="4:4" s="19" customFormat="1">
      <c r="D784" s="115"/>
    </row>
    <row r="785" spans="4:4" s="19" customFormat="1">
      <c r="D785" s="115"/>
    </row>
    <row r="786" spans="4:4" s="19" customFormat="1">
      <c r="D786" s="115"/>
    </row>
    <row r="787" spans="4:4" s="19" customFormat="1">
      <c r="D787" s="115"/>
    </row>
    <row r="788" spans="4:4" s="19" customFormat="1">
      <c r="D788" s="115"/>
    </row>
    <row r="789" spans="4:4" s="19" customFormat="1">
      <c r="D789" s="115"/>
    </row>
    <row r="790" spans="4:4" s="19" customFormat="1">
      <c r="D790" s="115"/>
    </row>
    <row r="791" spans="4:4" s="19" customFormat="1">
      <c r="D791" s="115"/>
    </row>
    <row r="792" spans="4:4" s="19" customFormat="1">
      <c r="D792" s="115"/>
    </row>
    <row r="793" spans="4:4" s="19" customFormat="1">
      <c r="D793" s="115"/>
    </row>
    <row r="794" spans="4:4" s="19" customFormat="1">
      <c r="D794" s="115"/>
    </row>
    <row r="795" spans="4:4" s="19" customFormat="1">
      <c r="D795" s="115"/>
    </row>
    <row r="796" spans="4:4" s="19" customFormat="1">
      <c r="D796" s="115"/>
    </row>
    <row r="797" spans="4:4" s="19" customFormat="1">
      <c r="D797" s="115"/>
    </row>
    <row r="798" spans="4:4" s="19" customFormat="1">
      <c r="D798" s="115"/>
    </row>
    <row r="799" spans="4:4" s="19" customFormat="1">
      <c r="D799" s="115"/>
    </row>
    <row r="800" spans="4:4" s="19" customFormat="1">
      <c r="D800" s="115"/>
    </row>
    <row r="801" spans="4:4" s="19" customFormat="1">
      <c r="D801" s="115"/>
    </row>
    <row r="802" spans="4:4" s="19" customFormat="1">
      <c r="D802" s="115"/>
    </row>
    <row r="803" spans="4:4" s="19" customFormat="1">
      <c r="D803" s="115"/>
    </row>
    <row r="804" spans="4:4" s="19" customFormat="1">
      <c r="D804" s="115"/>
    </row>
    <row r="805" spans="4:4" s="19" customFormat="1">
      <c r="D805" s="115"/>
    </row>
    <row r="806" spans="4:4" s="19" customFormat="1">
      <c r="D806" s="115"/>
    </row>
    <row r="807" spans="4:4" s="19" customFormat="1">
      <c r="D807" s="115"/>
    </row>
    <row r="808" spans="4:4" s="19" customFormat="1">
      <c r="D808" s="115"/>
    </row>
    <row r="809" spans="4:4" s="19" customFormat="1">
      <c r="D809" s="115"/>
    </row>
    <row r="810" spans="4:4" s="19" customFormat="1">
      <c r="D810" s="115"/>
    </row>
    <row r="811" spans="4:4" s="19" customFormat="1">
      <c r="D811" s="115"/>
    </row>
    <row r="812" spans="4:4" s="19" customFormat="1">
      <c r="D812" s="115"/>
    </row>
    <row r="813" spans="4:4" s="19" customFormat="1">
      <c r="D813" s="115"/>
    </row>
    <row r="814" spans="4:4" s="19" customFormat="1">
      <c r="D814" s="115"/>
    </row>
    <row r="815" spans="4:4" s="19" customFormat="1">
      <c r="D815" s="115"/>
    </row>
    <row r="816" spans="4:4" s="19" customFormat="1">
      <c r="D816" s="115"/>
    </row>
    <row r="817" spans="4:4" s="19" customFormat="1">
      <c r="D817" s="115"/>
    </row>
    <row r="818" spans="4:4" s="19" customFormat="1">
      <c r="D818" s="115"/>
    </row>
    <row r="819" spans="4:4" s="19" customFormat="1">
      <c r="D819" s="115"/>
    </row>
    <row r="820" spans="4:4" s="19" customFormat="1">
      <c r="D820" s="115"/>
    </row>
    <row r="821" spans="4:4" s="19" customFormat="1">
      <c r="D821" s="115"/>
    </row>
    <row r="822" spans="4:4" s="19" customFormat="1">
      <c r="D822" s="115"/>
    </row>
    <row r="823" spans="4:4" s="19" customFormat="1">
      <c r="D823" s="115"/>
    </row>
    <row r="824" spans="4:4" s="19" customFormat="1">
      <c r="D824" s="115"/>
    </row>
    <row r="825" spans="4:4" s="19" customFormat="1">
      <c r="D825" s="115"/>
    </row>
    <row r="826" spans="4:4" s="19" customFormat="1">
      <c r="D826" s="115"/>
    </row>
    <row r="827" spans="4:4" s="19" customFormat="1">
      <c r="D827" s="115"/>
    </row>
    <row r="828" spans="4:4" s="19" customFormat="1">
      <c r="D828" s="115"/>
    </row>
    <row r="829" spans="4:4" s="19" customFormat="1">
      <c r="D829" s="115"/>
    </row>
    <row r="830" spans="4:4" s="19" customFormat="1">
      <c r="D830" s="115"/>
    </row>
    <row r="831" spans="4:4" s="19" customFormat="1">
      <c r="D831" s="115"/>
    </row>
    <row r="832" spans="4:4" s="19" customFormat="1">
      <c r="D832" s="115"/>
    </row>
    <row r="833" spans="4:4" s="19" customFormat="1">
      <c r="D833" s="115"/>
    </row>
    <row r="834" spans="4:4" s="19" customFormat="1">
      <c r="D834" s="115"/>
    </row>
    <row r="835" spans="4:4" s="19" customFormat="1">
      <c r="D835" s="115"/>
    </row>
    <row r="836" spans="4:4" s="19" customFormat="1">
      <c r="D836" s="115"/>
    </row>
    <row r="837" spans="4:4" s="19" customFormat="1">
      <c r="D837" s="115"/>
    </row>
    <row r="838" spans="4:4" s="19" customFormat="1">
      <c r="D838" s="115"/>
    </row>
    <row r="839" spans="4:4" s="19" customFormat="1">
      <c r="D839" s="115"/>
    </row>
    <row r="840" spans="4:4" s="19" customFormat="1">
      <c r="D840" s="115"/>
    </row>
    <row r="841" spans="4:4" s="19" customFormat="1">
      <c r="D841" s="115"/>
    </row>
    <row r="842" spans="4:4" s="19" customFormat="1">
      <c r="D842" s="115"/>
    </row>
    <row r="843" spans="4:4" s="19" customFormat="1">
      <c r="D843" s="115"/>
    </row>
    <row r="844" spans="4:4" s="19" customFormat="1">
      <c r="D844" s="115"/>
    </row>
    <row r="845" spans="4:4" s="19" customFormat="1">
      <c r="D845" s="115"/>
    </row>
    <row r="846" spans="4:4" s="19" customFormat="1">
      <c r="D846" s="115"/>
    </row>
    <row r="847" spans="4:4" s="19" customFormat="1">
      <c r="D847" s="115"/>
    </row>
    <row r="848" spans="4:4" s="19" customFormat="1">
      <c r="D848" s="115"/>
    </row>
    <row r="849" spans="4:4" s="19" customFormat="1">
      <c r="D849" s="115"/>
    </row>
    <row r="850" spans="4:4" s="19" customFormat="1">
      <c r="D850" s="115"/>
    </row>
    <row r="851" spans="4:4" s="19" customFormat="1">
      <c r="D851" s="115"/>
    </row>
    <row r="852" spans="4:4" s="19" customFormat="1">
      <c r="D852" s="115"/>
    </row>
    <row r="853" spans="4:4" s="19" customFormat="1">
      <c r="D853" s="115"/>
    </row>
    <row r="854" spans="4:4" s="19" customFormat="1">
      <c r="D854" s="115"/>
    </row>
    <row r="855" spans="4:4" s="19" customFormat="1">
      <c r="D855" s="115"/>
    </row>
    <row r="856" spans="4:4" s="19" customFormat="1">
      <c r="D856" s="115"/>
    </row>
    <row r="857" spans="4:4" s="19" customFormat="1">
      <c r="D857" s="115"/>
    </row>
    <row r="858" spans="4:4" s="19" customFormat="1">
      <c r="D858" s="115"/>
    </row>
    <row r="859" spans="4:4" s="19" customFormat="1">
      <c r="D859" s="115"/>
    </row>
    <row r="860" spans="4:4" s="19" customFormat="1">
      <c r="D860" s="115"/>
    </row>
    <row r="861" spans="4:4" s="19" customFormat="1">
      <c r="D861" s="115"/>
    </row>
    <row r="862" spans="4:4" s="19" customFormat="1">
      <c r="D862" s="115"/>
    </row>
    <row r="863" spans="4:4" s="19" customFormat="1">
      <c r="D863" s="115"/>
    </row>
    <row r="864" spans="4:4" s="19" customFormat="1">
      <c r="D864" s="115"/>
    </row>
    <row r="865" spans="4:4" s="19" customFormat="1">
      <c r="D865" s="115"/>
    </row>
    <row r="866" spans="4:4" s="19" customFormat="1">
      <c r="D866" s="115"/>
    </row>
    <row r="867" spans="4:4" s="19" customFormat="1">
      <c r="D867" s="115"/>
    </row>
    <row r="868" spans="4:4" s="19" customFormat="1">
      <c r="D868" s="115"/>
    </row>
    <row r="869" spans="4:4" s="19" customFormat="1">
      <c r="D869" s="115"/>
    </row>
    <row r="870" spans="4:4" s="19" customFormat="1">
      <c r="D870" s="115"/>
    </row>
    <row r="871" spans="4:4" s="19" customFormat="1">
      <c r="D871" s="115"/>
    </row>
    <row r="872" spans="4:4" s="19" customFormat="1">
      <c r="D872" s="115"/>
    </row>
    <row r="873" spans="4:4" s="19" customFormat="1">
      <c r="D873" s="115"/>
    </row>
    <row r="874" spans="4:4" s="19" customFormat="1">
      <c r="D874" s="115"/>
    </row>
    <row r="875" spans="4:4" s="19" customFormat="1">
      <c r="D875" s="115"/>
    </row>
    <row r="876" spans="4:4" s="19" customFormat="1">
      <c r="D876" s="115"/>
    </row>
    <row r="877" spans="4:4" s="19" customFormat="1">
      <c r="D877" s="115"/>
    </row>
    <row r="878" spans="4:4" s="19" customFormat="1">
      <c r="D878" s="115"/>
    </row>
    <row r="879" spans="4:4" s="19" customFormat="1">
      <c r="D879" s="115"/>
    </row>
    <row r="880" spans="4:4" s="19" customFormat="1">
      <c r="D880" s="115"/>
    </row>
    <row r="881" spans="4:4" s="19" customFormat="1">
      <c r="D881" s="115"/>
    </row>
    <row r="882" spans="4:4" s="19" customFormat="1">
      <c r="D882" s="115"/>
    </row>
    <row r="883" spans="4:4" s="19" customFormat="1">
      <c r="D883" s="115"/>
    </row>
    <row r="884" spans="4:4" s="19" customFormat="1">
      <c r="D884" s="115"/>
    </row>
    <row r="885" spans="4:4" s="19" customFormat="1">
      <c r="D885" s="115"/>
    </row>
    <row r="886" spans="4:4" s="19" customFormat="1">
      <c r="D886" s="115"/>
    </row>
    <row r="887" spans="4:4" s="19" customFormat="1">
      <c r="D887" s="115"/>
    </row>
    <row r="888" spans="4:4" s="19" customFormat="1">
      <c r="D888" s="115"/>
    </row>
    <row r="889" spans="4:4" s="19" customFormat="1">
      <c r="D889" s="115"/>
    </row>
    <row r="890" spans="4:4" s="19" customFormat="1">
      <c r="D890" s="115"/>
    </row>
    <row r="891" spans="4:4" s="19" customFormat="1">
      <c r="D891" s="115"/>
    </row>
    <row r="892" spans="4:4" s="19" customFormat="1">
      <c r="D892" s="115"/>
    </row>
    <row r="893" spans="4:4" s="19" customFormat="1">
      <c r="D893" s="115"/>
    </row>
    <row r="894" spans="4:4" s="19" customFormat="1">
      <c r="D894" s="115"/>
    </row>
    <row r="895" spans="4:4" s="19" customFormat="1">
      <c r="D895" s="115"/>
    </row>
    <row r="896" spans="4:4" s="19" customFormat="1">
      <c r="D896" s="115"/>
    </row>
    <row r="897" spans="4:4" s="19" customFormat="1">
      <c r="D897" s="115"/>
    </row>
    <row r="898" spans="4:4" s="19" customFormat="1">
      <c r="D898" s="115"/>
    </row>
    <row r="899" spans="4:4" s="19" customFormat="1">
      <c r="D899" s="115"/>
    </row>
    <row r="900" spans="4:4" s="19" customFormat="1">
      <c r="D900" s="115"/>
    </row>
    <row r="901" spans="4:4" s="19" customFormat="1">
      <c r="D901" s="115"/>
    </row>
    <row r="902" spans="4:4" s="19" customFormat="1">
      <c r="D902" s="115"/>
    </row>
    <row r="903" spans="4:4" s="19" customFormat="1">
      <c r="D903" s="115"/>
    </row>
    <row r="904" spans="4:4" s="19" customFormat="1">
      <c r="D904" s="115"/>
    </row>
    <row r="905" spans="4:4" s="19" customFormat="1">
      <c r="D905" s="115"/>
    </row>
    <row r="906" spans="4:4" s="19" customFormat="1">
      <c r="D906" s="115"/>
    </row>
    <row r="907" spans="4:4" s="19" customFormat="1">
      <c r="D907" s="115"/>
    </row>
    <row r="908" spans="4:4" s="19" customFormat="1">
      <c r="D908" s="115"/>
    </row>
    <row r="909" spans="4:4" s="19" customFormat="1">
      <c r="D909" s="115"/>
    </row>
    <row r="910" spans="4:4" s="19" customFormat="1">
      <c r="D910" s="115"/>
    </row>
    <row r="911" spans="4:4" s="19" customFormat="1">
      <c r="D911" s="115"/>
    </row>
    <row r="912" spans="4:4" s="19" customFormat="1">
      <c r="D912" s="115"/>
    </row>
    <row r="913" spans="4:4" s="19" customFormat="1">
      <c r="D913" s="115"/>
    </row>
    <row r="914" spans="4:4" s="19" customFormat="1">
      <c r="D914" s="115"/>
    </row>
    <row r="915" spans="4:4" s="19" customFormat="1">
      <c r="D915" s="115"/>
    </row>
    <row r="916" spans="4:4" s="19" customFormat="1">
      <c r="D916" s="115"/>
    </row>
    <row r="917" spans="4:4" s="19" customFormat="1">
      <c r="D917" s="115"/>
    </row>
    <row r="918" spans="4:4" s="19" customFormat="1">
      <c r="D918" s="115"/>
    </row>
    <row r="919" spans="4:4" s="19" customFormat="1">
      <c r="D919" s="115"/>
    </row>
    <row r="920" spans="4:4" s="19" customFormat="1">
      <c r="D920" s="115"/>
    </row>
    <row r="921" spans="4:4" s="19" customFormat="1">
      <c r="D921" s="115"/>
    </row>
    <row r="922" spans="4:4" s="19" customFormat="1">
      <c r="D922" s="115"/>
    </row>
    <row r="923" spans="4:4" s="19" customFormat="1">
      <c r="D923" s="115"/>
    </row>
    <row r="924" spans="4:4" s="19" customFormat="1">
      <c r="D924" s="115"/>
    </row>
    <row r="925" spans="4:4" s="19" customFormat="1">
      <c r="D925" s="115"/>
    </row>
    <row r="926" spans="4:4" s="19" customFormat="1">
      <c r="D926" s="115"/>
    </row>
    <row r="927" spans="4:4" s="19" customFormat="1">
      <c r="D927" s="115"/>
    </row>
    <row r="928" spans="4:4" s="19" customFormat="1">
      <c r="D928" s="115"/>
    </row>
    <row r="929" spans="4:4" s="19" customFormat="1">
      <c r="D929" s="115"/>
    </row>
    <row r="930" spans="4:4" s="19" customFormat="1">
      <c r="D930" s="115"/>
    </row>
    <row r="931" spans="4:4" s="19" customFormat="1">
      <c r="D931" s="115"/>
    </row>
    <row r="932" spans="4:4" s="19" customFormat="1">
      <c r="D932" s="115"/>
    </row>
    <row r="933" spans="4:4" s="19" customFormat="1">
      <c r="D933" s="115"/>
    </row>
    <row r="934" spans="4:4" s="19" customFormat="1">
      <c r="D934" s="115"/>
    </row>
    <row r="935" spans="4:4" s="19" customFormat="1">
      <c r="D935" s="115"/>
    </row>
    <row r="936" spans="4:4" s="19" customFormat="1">
      <c r="D936" s="115"/>
    </row>
    <row r="937" spans="4:4" s="19" customFormat="1">
      <c r="D937" s="115"/>
    </row>
    <row r="938" spans="4:4" s="19" customFormat="1">
      <c r="D938" s="115"/>
    </row>
    <row r="939" spans="4:4" s="19" customFormat="1">
      <c r="D939" s="115"/>
    </row>
    <row r="940" spans="4:4" s="19" customFormat="1">
      <c r="D940" s="115"/>
    </row>
    <row r="941" spans="4:4" s="19" customFormat="1">
      <c r="D941" s="115"/>
    </row>
    <row r="942" spans="4:4" s="19" customFormat="1">
      <c r="D942" s="115"/>
    </row>
    <row r="943" spans="4:4" s="19" customFormat="1">
      <c r="D943" s="115"/>
    </row>
    <row r="944" spans="4:4" s="19" customFormat="1">
      <c r="D944" s="115"/>
    </row>
    <row r="945" spans="4:4" s="19" customFormat="1">
      <c r="D945" s="115"/>
    </row>
    <row r="946" spans="4:4" s="19" customFormat="1">
      <c r="D946" s="115"/>
    </row>
    <row r="947" spans="4:4" s="19" customFormat="1">
      <c r="D947" s="115"/>
    </row>
    <row r="948" spans="4:4" s="19" customFormat="1">
      <c r="D948" s="115"/>
    </row>
    <row r="949" spans="4:4" s="19" customFormat="1">
      <c r="D949" s="115"/>
    </row>
    <row r="950" spans="4:4" s="19" customFormat="1">
      <c r="D950" s="115"/>
    </row>
    <row r="951" spans="4:4" s="19" customFormat="1">
      <c r="D951" s="115"/>
    </row>
    <row r="952" spans="4:4" s="19" customFormat="1">
      <c r="D952" s="115"/>
    </row>
    <row r="953" spans="4:4" s="19" customFormat="1">
      <c r="D953" s="115"/>
    </row>
    <row r="954" spans="4:4" s="19" customFormat="1">
      <c r="D954" s="115"/>
    </row>
    <row r="955" spans="4:4" s="19" customFormat="1">
      <c r="D955" s="115"/>
    </row>
    <row r="956" spans="4:4" s="19" customFormat="1">
      <c r="D956" s="115"/>
    </row>
    <row r="957" spans="4:4" s="19" customFormat="1">
      <c r="D957" s="115"/>
    </row>
    <row r="958" spans="4:4" s="19" customFormat="1">
      <c r="D958" s="115"/>
    </row>
    <row r="959" spans="4:4" s="19" customFormat="1">
      <c r="D959" s="115"/>
    </row>
    <row r="960" spans="4:4" s="19" customFormat="1">
      <c r="D960" s="115"/>
    </row>
    <row r="961" spans="4:4" s="19" customFormat="1">
      <c r="D961" s="115"/>
    </row>
    <row r="962" spans="4:4" s="19" customFormat="1">
      <c r="D962" s="115"/>
    </row>
    <row r="963" spans="4:4" s="19" customFormat="1">
      <c r="D963" s="115"/>
    </row>
    <row r="964" spans="4:4" s="19" customFormat="1">
      <c r="D964" s="115"/>
    </row>
    <row r="965" spans="4:4" s="19" customFormat="1">
      <c r="D965" s="115"/>
    </row>
    <row r="966" spans="4:4" s="19" customFormat="1">
      <c r="D966" s="115"/>
    </row>
    <row r="967" spans="4:4" s="19" customFormat="1">
      <c r="D967" s="115"/>
    </row>
    <row r="968" spans="4:4" s="19" customFormat="1">
      <c r="D968" s="115"/>
    </row>
    <row r="969" spans="4:4" s="19" customFormat="1">
      <c r="D969" s="115"/>
    </row>
    <row r="970" spans="4:4" s="19" customFormat="1">
      <c r="D970" s="115"/>
    </row>
    <row r="971" spans="4:4" s="19" customFormat="1">
      <c r="D971" s="115"/>
    </row>
    <row r="972" spans="4:4" s="19" customFormat="1">
      <c r="D972" s="115"/>
    </row>
    <row r="973" spans="4:4" s="19" customFormat="1">
      <c r="D973" s="115"/>
    </row>
    <row r="974" spans="4:4" s="19" customFormat="1">
      <c r="D974" s="115"/>
    </row>
    <row r="975" spans="4:4" s="19" customFormat="1">
      <c r="D975" s="115"/>
    </row>
    <row r="976" spans="4:4" s="19" customFormat="1">
      <c r="D976" s="115"/>
    </row>
    <row r="977" spans="4:4" s="19" customFormat="1">
      <c r="D977" s="115"/>
    </row>
    <row r="978" spans="4:4" s="19" customFormat="1">
      <c r="D978" s="115"/>
    </row>
    <row r="979" spans="4:4" s="19" customFormat="1">
      <c r="D979" s="115"/>
    </row>
    <row r="980" spans="4:4" s="19" customFormat="1">
      <c r="D980" s="115"/>
    </row>
    <row r="981" spans="4:4" s="19" customFormat="1">
      <c r="D981" s="115"/>
    </row>
    <row r="982" spans="4:4" s="19" customFormat="1">
      <c r="D982" s="115"/>
    </row>
    <row r="983" spans="4:4" s="19" customFormat="1">
      <c r="D983" s="115"/>
    </row>
    <row r="984" spans="4:4" s="19" customFormat="1">
      <c r="D984" s="115"/>
    </row>
    <row r="985" spans="4:4" s="19" customFormat="1">
      <c r="D985" s="115"/>
    </row>
    <row r="986" spans="4:4" s="19" customFormat="1">
      <c r="D986" s="115"/>
    </row>
    <row r="987" spans="4:4" s="19" customFormat="1">
      <c r="D987" s="115"/>
    </row>
    <row r="988" spans="4:4" s="19" customFormat="1">
      <c r="D988" s="115"/>
    </row>
    <row r="989" spans="4:4" s="19" customFormat="1">
      <c r="D989" s="115"/>
    </row>
    <row r="990" spans="4:4" s="19" customFormat="1">
      <c r="D990" s="115"/>
    </row>
    <row r="991" spans="4:4" s="19" customFormat="1">
      <c r="D991" s="115"/>
    </row>
    <row r="992" spans="4:4" s="19" customFormat="1">
      <c r="D992" s="115"/>
    </row>
    <row r="993" spans="4:4" s="19" customFormat="1">
      <c r="D993" s="115"/>
    </row>
    <row r="994" spans="4:4" s="19" customFormat="1">
      <c r="D994" s="115"/>
    </row>
    <row r="995" spans="4:4" s="19" customFormat="1">
      <c r="D995" s="115"/>
    </row>
    <row r="996" spans="4:4" s="19" customFormat="1">
      <c r="D996" s="115"/>
    </row>
    <row r="997" spans="4:4" s="19" customFormat="1">
      <c r="D997" s="115"/>
    </row>
    <row r="998" spans="4:4" s="19" customFormat="1">
      <c r="D998" s="115"/>
    </row>
    <row r="999" spans="4:4" s="19" customFormat="1">
      <c r="D999" s="115"/>
    </row>
    <row r="1000" spans="4:4" s="19" customFormat="1">
      <c r="D1000" s="115"/>
    </row>
    <row r="1001" spans="4:4" s="19" customFormat="1">
      <c r="D1001" s="115"/>
    </row>
    <row r="1002" spans="4:4" s="19" customFormat="1">
      <c r="D1002" s="115"/>
    </row>
    <row r="1003" spans="4:4" s="19" customFormat="1">
      <c r="D1003" s="115"/>
    </row>
    <row r="1004" spans="4:4" s="19" customFormat="1">
      <c r="D1004" s="115"/>
    </row>
    <row r="1005" spans="4:4" s="19" customFormat="1">
      <c r="D1005" s="115"/>
    </row>
    <row r="1006" spans="4:4" s="19" customFormat="1">
      <c r="D1006" s="115"/>
    </row>
    <row r="1007" spans="4:4" s="19" customFormat="1">
      <c r="D1007" s="115"/>
    </row>
    <row r="1008" spans="4:4" s="19" customFormat="1">
      <c r="D1008" s="115"/>
    </row>
    <row r="1009" spans="4:4" s="19" customFormat="1">
      <c r="D1009" s="115"/>
    </row>
    <row r="1010" spans="4:4" s="19" customFormat="1">
      <c r="D1010" s="115"/>
    </row>
    <row r="1011" spans="4:4" s="19" customFormat="1">
      <c r="D1011" s="115"/>
    </row>
    <row r="1012" spans="4:4" s="19" customFormat="1">
      <c r="D1012" s="115"/>
    </row>
    <row r="1013" spans="4:4" s="19" customFormat="1">
      <c r="D1013" s="115"/>
    </row>
    <row r="1014" spans="4:4" s="19" customFormat="1">
      <c r="D1014" s="115"/>
    </row>
    <row r="1015" spans="4:4" s="19" customFormat="1">
      <c r="D1015" s="115"/>
    </row>
    <row r="1016" spans="4:4" s="19" customFormat="1">
      <c r="D1016" s="115"/>
    </row>
    <row r="1017" spans="4:4" s="19" customFormat="1">
      <c r="D1017" s="115"/>
    </row>
    <row r="1018" spans="4:4" s="19" customFormat="1">
      <c r="D1018" s="115"/>
    </row>
    <row r="1019" spans="4:4" s="19" customFormat="1">
      <c r="D1019" s="115"/>
    </row>
    <row r="1020" spans="4:4" s="19" customFormat="1">
      <c r="D1020" s="115"/>
    </row>
    <row r="1021" spans="4:4" s="19" customFormat="1">
      <c r="D1021" s="115"/>
    </row>
    <row r="1022" spans="4:4" s="19" customFormat="1">
      <c r="D1022" s="115"/>
    </row>
    <row r="1023" spans="4:4" s="19" customFormat="1">
      <c r="D1023" s="115"/>
    </row>
    <row r="1024" spans="4:4" s="19" customFormat="1">
      <c r="D1024" s="115"/>
    </row>
    <row r="1025" spans="4:4" s="19" customFormat="1">
      <c r="D1025" s="115"/>
    </row>
    <row r="1026" spans="4:4" s="19" customFormat="1">
      <c r="D1026" s="115"/>
    </row>
    <row r="1027" spans="4:4" s="19" customFormat="1">
      <c r="D1027" s="115"/>
    </row>
    <row r="1028" spans="4:4" s="19" customFormat="1">
      <c r="D1028" s="115"/>
    </row>
    <row r="1029" spans="4:4" s="19" customFormat="1">
      <c r="D1029" s="115"/>
    </row>
    <row r="1030" spans="4:4" s="19" customFormat="1">
      <c r="D1030" s="115"/>
    </row>
    <row r="1031" spans="4:4" s="19" customFormat="1">
      <c r="D1031" s="115"/>
    </row>
    <row r="1032" spans="4:4" s="19" customFormat="1">
      <c r="D1032" s="115"/>
    </row>
    <row r="1033" spans="4:4" s="19" customFormat="1">
      <c r="D1033" s="115"/>
    </row>
    <row r="1034" spans="4:4" s="19" customFormat="1">
      <c r="D1034" s="115"/>
    </row>
    <row r="1035" spans="4:4" s="19" customFormat="1">
      <c r="D1035" s="115"/>
    </row>
    <row r="1036" spans="4:4" s="19" customFormat="1">
      <c r="D1036" s="115"/>
    </row>
    <row r="1037" spans="4:4" s="19" customFormat="1">
      <c r="D1037" s="115"/>
    </row>
    <row r="1038" spans="4:4" s="19" customFormat="1">
      <c r="D1038" s="115"/>
    </row>
    <row r="1039" spans="4:4" s="19" customFormat="1">
      <c r="D1039" s="115"/>
    </row>
    <row r="1040" spans="4:4" s="19" customFormat="1">
      <c r="D1040" s="115"/>
    </row>
    <row r="1041" spans="4:4" s="19" customFormat="1">
      <c r="D1041" s="115"/>
    </row>
    <row r="1042" spans="4:4" s="19" customFormat="1">
      <c r="D1042" s="115"/>
    </row>
    <row r="1043" spans="4:4" s="19" customFormat="1">
      <c r="D1043" s="115"/>
    </row>
    <row r="1044" spans="4:4" s="19" customFormat="1">
      <c r="D1044" s="115"/>
    </row>
    <row r="1045" spans="4:4" s="19" customFormat="1">
      <c r="D1045" s="115"/>
    </row>
    <row r="1046" spans="4:4" s="19" customFormat="1">
      <c r="D1046" s="115"/>
    </row>
    <row r="1047" spans="4:4" s="19" customFormat="1">
      <c r="D1047" s="115"/>
    </row>
    <row r="1048" spans="4:4" s="19" customFormat="1">
      <c r="D1048" s="115"/>
    </row>
    <row r="1049" spans="4:4" s="19" customFormat="1">
      <c r="D1049" s="115"/>
    </row>
    <row r="1050" spans="4:4" s="19" customFormat="1">
      <c r="D1050" s="115"/>
    </row>
    <row r="1051" spans="4:4" s="19" customFormat="1">
      <c r="D1051" s="115"/>
    </row>
    <row r="1052" spans="4:4" s="19" customFormat="1">
      <c r="D1052" s="115"/>
    </row>
    <row r="1053" spans="4:4" s="19" customFormat="1">
      <c r="D1053" s="115"/>
    </row>
    <row r="1054" spans="4:4" s="19" customFormat="1">
      <c r="D1054" s="115"/>
    </row>
    <row r="1055" spans="4:4" s="19" customFormat="1">
      <c r="D1055" s="115"/>
    </row>
    <row r="1056" spans="4:4" s="19" customFormat="1">
      <c r="D1056" s="115"/>
    </row>
    <row r="1057" spans="4:4" s="19" customFormat="1">
      <c r="D1057" s="115"/>
    </row>
    <row r="1058" spans="4:4" s="19" customFormat="1">
      <c r="D1058" s="115"/>
    </row>
    <row r="1059" spans="4:4" s="19" customFormat="1">
      <c r="D1059" s="115"/>
    </row>
    <row r="1060" spans="4:4" s="19" customFormat="1">
      <c r="D1060" s="115"/>
    </row>
    <row r="1061" spans="4:4" s="19" customFormat="1">
      <c r="D1061" s="115"/>
    </row>
    <row r="1062" spans="4:4" s="19" customFormat="1">
      <c r="D1062" s="115"/>
    </row>
    <row r="1063" spans="4:4" s="19" customFormat="1">
      <c r="D1063" s="115"/>
    </row>
    <row r="1064" spans="4:4" s="19" customFormat="1">
      <c r="D1064" s="115"/>
    </row>
    <row r="1065" spans="4:4" s="19" customFormat="1">
      <c r="D1065" s="115"/>
    </row>
    <row r="1066" spans="4:4" s="19" customFormat="1">
      <c r="D1066" s="115"/>
    </row>
    <row r="1067" spans="4:4" s="19" customFormat="1">
      <c r="D1067" s="115"/>
    </row>
    <row r="1068" spans="4:4" s="19" customFormat="1">
      <c r="D1068" s="115"/>
    </row>
    <row r="1069" spans="4:4" s="19" customFormat="1">
      <c r="D1069" s="115"/>
    </row>
    <row r="1070" spans="4:4" s="19" customFormat="1">
      <c r="D1070" s="115"/>
    </row>
    <row r="1071" spans="4:4" s="19" customFormat="1">
      <c r="D1071" s="115"/>
    </row>
    <row r="1072" spans="4:4" s="19" customFormat="1">
      <c r="D1072" s="115"/>
    </row>
    <row r="1073" spans="4:4" s="19" customFormat="1">
      <c r="D1073" s="115"/>
    </row>
    <row r="1074" spans="4:4" s="19" customFormat="1">
      <c r="D1074" s="115"/>
    </row>
    <row r="1075" spans="4:4" s="19" customFormat="1">
      <c r="D1075" s="115"/>
    </row>
    <row r="1076" spans="4:4" s="19" customFormat="1">
      <c r="D1076" s="115"/>
    </row>
    <row r="1077" spans="4:4" s="19" customFormat="1">
      <c r="D1077" s="115"/>
    </row>
    <row r="1078" spans="4:4" s="19" customFormat="1">
      <c r="D1078" s="115"/>
    </row>
    <row r="1079" spans="4:4" s="19" customFormat="1">
      <c r="D1079" s="115"/>
    </row>
    <row r="1080" spans="4:4" s="19" customFormat="1">
      <c r="D1080" s="115"/>
    </row>
    <row r="1081" spans="4:4" s="19" customFormat="1">
      <c r="D1081" s="115"/>
    </row>
    <row r="1082" spans="4:4" s="19" customFormat="1">
      <c r="D1082" s="115"/>
    </row>
    <row r="1083" spans="4:4" s="19" customFormat="1">
      <c r="D1083" s="115"/>
    </row>
    <row r="1084" spans="4:4" s="19" customFormat="1">
      <c r="D1084" s="115"/>
    </row>
    <row r="1085" spans="4:4" s="19" customFormat="1">
      <c r="D1085" s="115"/>
    </row>
    <row r="1086" spans="4:4" s="19" customFormat="1">
      <c r="D1086" s="115"/>
    </row>
    <row r="1087" spans="4:4" s="19" customFormat="1">
      <c r="D1087" s="115"/>
    </row>
    <row r="1088" spans="4:4" s="19" customFormat="1">
      <c r="D1088" s="115"/>
    </row>
    <row r="1089" spans="4:4" s="19" customFormat="1">
      <c r="D1089" s="115"/>
    </row>
    <row r="1090" spans="4:4" s="19" customFormat="1">
      <c r="D1090" s="115"/>
    </row>
    <row r="1091" spans="4:4" s="19" customFormat="1">
      <c r="D1091" s="115"/>
    </row>
    <row r="1092" spans="4:4" s="19" customFormat="1">
      <c r="D1092" s="115"/>
    </row>
    <row r="1093" spans="4:4" s="19" customFormat="1">
      <c r="D1093" s="115"/>
    </row>
    <row r="1094" spans="4:4" s="19" customFormat="1">
      <c r="D1094" s="115"/>
    </row>
    <row r="1095" spans="4:4" s="19" customFormat="1">
      <c r="D1095" s="115"/>
    </row>
    <row r="1096" spans="4:4" s="19" customFormat="1">
      <c r="D1096" s="115"/>
    </row>
    <row r="1097" spans="4:4" s="19" customFormat="1">
      <c r="D1097" s="115"/>
    </row>
    <row r="1098" spans="4:4" s="19" customFormat="1">
      <c r="D1098" s="115"/>
    </row>
    <row r="1099" spans="4:4" s="19" customFormat="1">
      <c r="D1099" s="115"/>
    </row>
    <row r="1100" spans="4:4" s="19" customFormat="1">
      <c r="D1100" s="115"/>
    </row>
    <row r="1101" spans="4:4" s="19" customFormat="1">
      <c r="D1101" s="115"/>
    </row>
    <row r="1102" spans="4:4" s="19" customFormat="1">
      <c r="D1102" s="115"/>
    </row>
    <row r="1103" spans="4:4" s="19" customFormat="1">
      <c r="D1103" s="115"/>
    </row>
    <row r="1104" spans="4:4" s="19" customFormat="1">
      <c r="D1104" s="115"/>
    </row>
    <row r="1105" spans="4:4" s="19" customFormat="1">
      <c r="D1105" s="115"/>
    </row>
    <row r="1106" spans="4:4" s="19" customFormat="1">
      <c r="D1106" s="115"/>
    </row>
    <row r="1107" spans="4:4" s="19" customFormat="1">
      <c r="D1107" s="115"/>
    </row>
    <row r="1108" spans="4:4" s="19" customFormat="1">
      <c r="D1108" s="115"/>
    </row>
    <row r="1109" spans="4:4" s="19" customFormat="1">
      <c r="D1109" s="115"/>
    </row>
    <row r="1110" spans="4:4" s="19" customFormat="1">
      <c r="D1110" s="115"/>
    </row>
    <row r="1111" spans="4:4" s="19" customFormat="1">
      <c r="D1111" s="115"/>
    </row>
    <row r="1112" spans="4:4" s="19" customFormat="1">
      <c r="D1112" s="115"/>
    </row>
    <row r="1113" spans="4:4" s="19" customFormat="1">
      <c r="D1113" s="115"/>
    </row>
    <row r="1114" spans="4:4" s="19" customFormat="1">
      <c r="D1114" s="115"/>
    </row>
    <row r="1115" spans="4:4" s="19" customFormat="1">
      <c r="D1115" s="115"/>
    </row>
    <row r="1116" spans="4:4" s="19" customFormat="1">
      <c r="D1116" s="115"/>
    </row>
    <row r="1117" spans="4:4" s="19" customFormat="1">
      <c r="D1117" s="115"/>
    </row>
    <row r="1118" spans="4:4" s="19" customFormat="1">
      <c r="D1118" s="115"/>
    </row>
    <row r="1119" spans="4:4" s="19" customFormat="1">
      <c r="D1119" s="115"/>
    </row>
    <row r="1120" spans="4:4" s="19" customFormat="1">
      <c r="D1120" s="115"/>
    </row>
    <row r="1121" spans="4:4" s="19" customFormat="1">
      <c r="D1121" s="115"/>
    </row>
    <row r="1122" spans="4:4" s="19" customFormat="1">
      <c r="D1122" s="115"/>
    </row>
    <row r="1123" spans="4:4" s="19" customFormat="1">
      <c r="D1123" s="115"/>
    </row>
    <row r="1124" spans="4:4" s="19" customFormat="1">
      <c r="D1124" s="115"/>
    </row>
    <row r="1125" spans="4:4" s="19" customFormat="1">
      <c r="D1125" s="115"/>
    </row>
    <row r="1126" spans="4:4" s="19" customFormat="1">
      <c r="D1126" s="115"/>
    </row>
    <row r="1127" spans="4:4" s="19" customFormat="1">
      <c r="D1127" s="115"/>
    </row>
    <row r="1128" spans="4:4" s="19" customFormat="1">
      <c r="D1128" s="115"/>
    </row>
    <row r="1129" spans="4:4" s="19" customFormat="1">
      <c r="D1129" s="115"/>
    </row>
    <row r="1130" spans="4:4" s="19" customFormat="1">
      <c r="D1130" s="115"/>
    </row>
    <row r="1131" spans="4:4" s="19" customFormat="1">
      <c r="D1131" s="115"/>
    </row>
    <row r="1132" spans="4:4" s="19" customFormat="1">
      <c r="D1132" s="115"/>
    </row>
    <row r="1133" spans="4:4" s="19" customFormat="1">
      <c r="D1133" s="115"/>
    </row>
    <row r="1134" spans="4:4" s="19" customFormat="1">
      <c r="D1134" s="115"/>
    </row>
    <row r="1135" spans="4:4" s="19" customFormat="1">
      <c r="D1135" s="115"/>
    </row>
    <row r="1136" spans="4:4" s="19" customFormat="1">
      <c r="D1136" s="115"/>
    </row>
    <row r="1137" spans="4:4" s="19" customFormat="1">
      <c r="D1137" s="115"/>
    </row>
    <row r="1138" spans="4:4" s="19" customFormat="1">
      <c r="D1138" s="115"/>
    </row>
    <row r="1139" spans="4:4" s="19" customFormat="1">
      <c r="D1139" s="115"/>
    </row>
    <row r="1140" spans="4:4" s="19" customFormat="1">
      <c r="D1140" s="115"/>
    </row>
    <row r="1141" spans="4:4" s="19" customFormat="1">
      <c r="D1141" s="115"/>
    </row>
    <row r="1142" spans="4:4" s="19" customFormat="1">
      <c r="D1142" s="115"/>
    </row>
    <row r="1143" spans="4:4" s="19" customFormat="1">
      <c r="D1143" s="115"/>
    </row>
    <row r="1144" spans="4:4" s="19" customFormat="1">
      <c r="D1144" s="115"/>
    </row>
    <row r="1145" spans="4:4" s="19" customFormat="1">
      <c r="D1145" s="115"/>
    </row>
    <row r="1146" spans="4:4" s="19" customFormat="1">
      <c r="D1146" s="115"/>
    </row>
    <row r="1147" spans="4:4" s="19" customFormat="1">
      <c r="D1147" s="115"/>
    </row>
    <row r="1148" spans="4:4" s="19" customFormat="1">
      <c r="D1148" s="115"/>
    </row>
    <row r="1149" spans="4:4" s="19" customFormat="1">
      <c r="D1149" s="115"/>
    </row>
    <row r="1150" spans="4:4" s="19" customFormat="1">
      <c r="D1150" s="115"/>
    </row>
    <row r="1151" spans="4:4" s="19" customFormat="1">
      <c r="D1151" s="115"/>
    </row>
    <row r="1152" spans="4:4" s="19" customFormat="1">
      <c r="D1152" s="115"/>
    </row>
    <row r="1153" spans="4:4" s="19" customFormat="1">
      <c r="D1153" s="115"/>
    </row>
    <row r="1154" spans="4:4" s="19" customFormat="1">
      <c r="D1154" s="115"/>
    </row>
    <row r="1155" spans="4:4" s="19" customFormat="1">
      <c r="D1155" s="115"/>
    </row>
    <row r="1156" spans="4:4" s="19" customFormat="1">
      <c r="D1156" s="115"/>
    </row>
    <row r="1157" spans="4:4" s="19" customFormat="1">
      <c r="D1157" s="115"/>
    </row>
    <row r="1158" spans="4:4" s="19" customFormat="1">
      <c r="D1158" s="115"/>
    </row>
    <row r="1159" spans="4:4" s="19" customFormat="1">
      <c r="D1159" s="115"/>
    </row>
    <row r="1160" spans="4:4" s="19" customFormat="1">
      <c r="D1160" s="115"/>
    </row>
    <row r="1161" spans="4:4" s="19" customFormat="1">
      <c r="D1161" s="115"/>
    </row>
    <row r="1162" spans="4:4" s="19" customFormat="1">
      <c r="D1162" s="115"/>
    </row>
    <row r="1163" spans="4:4" s="19" customFormat="1">
      <c r="D1163" s="115"/>
    </row>
    <row r="1164" spans="4:4" s="19" customFormat="1">
      <c r="D1164" s="115"/>
    </row>
    <row r="1165" spans="4:4" s="19" customFormat="1">
      <c r="D1165" s="115"/>
    </row>
    <row r="1166" spans="4:4" s="19" customFormat="1">
      <c r="D1166" s="115"/>
    </row>
    <row r="1167" spans="4:4" s="19" customFormat="1">
      <c r="D1167" s="115"/>
    </row>
    <row r="1168" spans="4:4" s="19" customFormat="1">
      <c r="D1168" s="115"/>
    </row>
    <row r="1169" spans="4:4" s="19" customFormat="1">
      <c r="D1169" s="115"/>
    </row>
    <row r="1170" spans="4:4" s="19" customFormat="1">
      <c r="D1170" s="115"/>
    </row>
    <row r="1171" spans="4:4" s="19" customFormat="1">
      <c r="D1171" s="115"/>
    </row>
    <row r="1172" spans="4:4" s="19" customFormat="1">
      <c r="D1172" s="115"/>
    </row>
    <row r="1173" spans="4:4" s="19" customFormat="1">
      <c r="D1173" s="115"/>
    </row>
    <row r="1174" spans="4:4" s="19" customFormat="1">
      <c r="D1174" s="115"/>
    </row>
    <row r="1175" spans="4:4" s="19" customFormat="1">
      <c r="D1175" s="115"/>
    </row>
    <row r="1176" spans="4:4" s="19" customFormat="1">
      <c r="D1176" s="115"/>
    </row>
    <row r="1177" spans="4:4" s="19" customFormat="1">
      <c r="D1177" s="115"/>
    </row>
    <row r="1178" spans="4:4" s="19" customFormat="1">
      <c r="D1178" s="115"/>
    </row>
    <row r="1179" spans="4:4" s="19" customFormat="1">
      <c r="D1179" s="115"/>
    </row>
    <row r="1180" spans="4:4" s="19" customFormat="1">
      <c r="D1180" s="115"/>
    </row>
    <row r="1181" spans="4:4" s="19" customFormat="1">
      <c r="D1181" s="115"/>
    </row>
    <row r="1182" spans="4:4" s="19" customFormat="1">
      <c r="D1182" s="115"/>
    </row>
    <row r="1183" spans="4:4" s="19" customFormat="1">
      <c r="D1183" s="115"/>
    </row>
    <row r="1184" spans="4:4" s="19" customFormat="1">
      <c r="D1184" s="115"/>
    </row>
    <row r="1185" spans="4:4" s="19" customFormat="1">
      <c r="D1185" s="115"/>
    </row>
    <row r="1186" spans="4:4" s="19" customFormat="1">
      <c r="D1186" s="115"/>
    </row>
    <row r="1187" spans="4:4" s="19" customFormat="1">
      <c r="D1187" s="115"/>
    </row>
    <row r="1188" spans="4:4" s="19" customFormat="1">
      <c r="D1188" s="115"/>
    </row>
    <row r="1189" spans="4:4" s="19" customFormat="1">
      <c r="D1189" s="115"/>
    </row>
    <row r="1190" spans="4:4" s="19" customFormat="1">
      <c r="D1190" s="115"/>
    </row>
    <row r="1191" spans="4:4" s="19" customFormat="1">
      <c r="D1191" s="115"/>
    </row>
    <row r="1192" spans="4:4" s="19" customFormat="1">
      <c r="D1192" s="115"/>
    </row>
    <row r="1193" spans="4:4" s="19" customFormat="1">
      <c r="D1193" s="115"/>
    </row>
    <row r="1194" spans="4:4" s="19" customFormat="1">
      <c r="D1194" s="115"/>
    </row>
    <row r="1195" spans="4:4" s="19" customFormat="1">
      <c r="D1195" s="115"/>
    </row>
    <row r="1196" spans="4:4" s="19" customFormat="1">
      <c r="D1196" s="115"/>
    </row>
    <row r="1197" spans="4:4" s="19" customFormat="1">
      <c r="D1197" s="115"/>
    </row>
    <row r="1198" spans="4:4" s="19" customFormat="1">
      <c r="D1198" s="115"/>
    </row>
    <row r="1199" spans="4:4" s="19" customFormat="1">
      <c r="D1199" s="115"/>
    </row>
    <row r="1200" spans="4:4" s="19" customFormat="1">
      <c r="D1200" s="115"/>
    </row>
    <row r="1201" spans="4:4" s="19" customFormat="1">
      <c r="D1201" s="115"/>
    </row>
    <row r="1202" spans="4:4" s="19" customFormat="1">
      <c r="D1202" s="115"/>
    </row>
    <row r="1203" spans="4:4" s="19" customFormat="1">
      <c r="D1203" s="115"/>
    </row>
    <row r="1204" spans="4:4" s="19" customFormat="1">
      <c r="D1204" s="115"/>
    </row>
    <row r="1205" spans="4:4" s="19" customFormat="1">
      <c r="D1205" s="115"/>
    </row>
    <row r="1206" spans="4:4" s="19" customFormat="1">
      <c r="D1206" s="115"/>
    </row>
    <row r="1207" spans="4:4" s="19" customFormat="1">
      <c r="D1207" s="115"/>
    </row>
    <row r="1208" spans="4:4" s="19" customFormat="1">
      <c r="D1208" s="115"/>
    </row>
    <row r="1209" spans="4:4" s="19" customFormat="1">
      <c r="D1209" s="115"/>
    </row>
    <row r="1210" spans="4:4" s="19" customFormat="1">
      <c r="D1210" s="115"/>
    </row>
    <row r="1211" spans="4:4" s="19" customFormat="1">
      <c r="D1211" s="115"/>
    </row>
    <row r="1212" spans="4:4" s="19" customFormat="1">
      <c r="D1212" s="115"/>
    </row>
    <row r="1213" spans="4:4" s="19" customFormat="1">
      <c r="D1213" s="115"/>
    </row>
    <row r="1214" spans="4:4" s="19" customFormat="1">
      <c r="D1214" s="115"/>
    </row>
    <row r="1215" spans="4:4" s="19" customFormat="1">
      <c r="D1215" s="115"/>
    </row>
    <row r="1216" spans="4:4" s="19" customFormat="1">
      <c r="D1216" s="115"/>
    </row>
    <row r="1217" spans="4:4" s="19" customFormat="1">
      <c r="D1217" s="115"/>
    </row>
    <row r="1218" spans="4:4" s="19" customFormat="1">
      <c r="D1218" s="115"/>
    </row>
    <row r="1219" spans="4:4" s="19" customFormat="1">
      <c r="D1219" s="115"/>
    </row>
    <row r="1220" spans="4:4" s="19" customFormat="1">
      <c r="D1220" s="115"/>
    </row>
    <row r="1221" spans="4:4" s="19" customFormat="1">
      <c r="D1221" s="115"/>
    </row>
    <row r="1222" spans="4:4" s="19" customFormat="1">
      <c r="D1222" s="115"/>
    </row>
    <row r="1223" spans="4:4" s="19" customFormat="1">
      <c r="D1223" s="115"/>
    </row>
    <row r="1224" spans="4:4" s="19" customFormat="1">
      <c r="D1224" s="115"/>
    </row>
    <row r="1225" spans="4:4" s="19" customFormat="1">
      <c r="D1225" s="115"/>
    </row>
    <row r="1226" spans="4:4" s="19" customFormat="1">
      <c r="D1226" s="115"/>
    </row>
    <row r="1227" spans="4:4" s="19" customFormat="1">
      <c r="D1227" s="115"/>
    </row>
    <row r="1228" spans="4:4" s="19" customFormat="1">
      <c r="D1228" s="115"/>
    </row>
    <row r="1229" spans="4:4" s="19" customFormat="1">
      <c r="D1229" s="115"/>
    </row>
    <row r="1230" spans="4:4" s="19" customFormat="1">
      <c r="D1230" s="115"/>
    </row>
    <row r="1231" spans="4:4" s="19" customFormat="1">
      <c r="D1231" s="115"/>
    </row>
    <row r="1232" spans="4:4" s="19" customFormat="1">
      <c r="D1232" s="115"/>
    </row>
    <row r="1233" spans="4:4" s="19" customFormat="1">
      <c r="D1233" s="115"/>
    </row>
    <row r="1234" spans="4:4" s="19" customFormat="1">
      <c r="D1234" s="115"/>
    </row>
    <row r="1235" spans="4:4" s="19" customFormat="1">
      <c r="D1235" s="115"/>
    </row>
    <row r="1236" spans="4:4" s="19" customFormat="1">
      <c r="D1236" s="115"/>
    </row>
    <row r="1237" spans="4:4" s="19" customFormat="1">
      <c r="D1237" s="115"/>
    </row>
    <row r="1238" spans="4:4" s="19" customFormat="1">
      <c r="D1238" s="115"/>
    </row>
    <row r="1239" spans="4:4" s="19" customFormat="1">
      <c r="D1239" s="115"/>
    </row>
    <row r="1240" spans="4:4" s="19" customFormat="1">
      <c r="D1240" s="115"/>
    </row>
    <row r="1241" spans="4:4" s="19" customFormat="1">
      <c r="D1241" s="115"/>
    </row>
    <row r="1242" spans="4:4" s="19" customFormat="1">
      <c r="D1242" s="115"/>
    </row>
    <row r="1243" spans="4:4" s="19" customFormat="1">
      <c r="D1243" s="115"/>
    </row>
    <row r="1244" spans="4:4" s="19" customFormat="1">
      <c r="D1244" s="115"/>
    </row>
    <row r="1245" spans="4:4" s="19" customFormat="1">
      <c r="D1245" s="115"/>
    </row>
    <row r="1246" spans="4:4" s="19" customFormat="1">
      <c r="D1246" s="115"/>
    </row>
    <row r="1247" spans="4:4" s="19" customFormat="1">
      <c r="D1247" s="115"/>
    </row>
    <row r="1248" spans="4:4" s="19" customFormat="1">
      <c r="D1248" s="115"/>
    </row>
    <row r="1249" spans="4:4" s="19" customFormat="1">
      <c r="D1249" s="115"/>
    </row>
    <row r="1250" spans="4:4" s="19" customFormat="1">
      <c r="D1250" s="115"/>
    </row>
    <row r="1251" spans="4:4" s="19" customFormat="1">
      <c r="D1251" s="115"/>
    </row>
    <row r="1252" spans="4:4" s="19" customFormat="1">
      <c r="D1252" s="115"/>
    </row>
    <row r="1253" spans="4:4" s="19" customFormat="1">
      <c r="D1253" s="115"/>
    </row>
    <row r="1254" spans="4:4" s="19" customFormat="1">
      <c r="D1254" s="115"/>
    </row>
    <row r="1255" spans="4:4" s="19" customFormat="1">
      <c r="D1255" s="115"/>
    </row>
    <row r="1256" spans="4:4" s="19" customFormat="1">
      <c r="D1256" s="115"/>
    </row>
    <row r="1257" spans="4:4" s="19" customFormat="1">
      <c r="D1257" s="115"/>
    </row>
    <row r="1258" spans="4:4" s="19" customFormat="1">
      <c r="D1258" s="115"/>
    </row>
    <row r="1259" spans="4:4" s="19" customFormat="1">
      <c r="D1259" s="115"/>
    </row>
    <row r="1260" spans="4:4" s="19" customFormat="1">
      <c r="D1260" s="115"/>
    </row>
    <row r="1261" spans="4:4" s="19" customFormat="1">
      <c r="D1261" s="115"/>
    </row>
    <row r="1262" spans="4:4" s="19" customFormat="1">
      <c r="D1262" s="115"/>
    </row>
    <row r="1263" spans="4:4" s="19" customFormat="1">
      <c r="D1263" s="115"/>
    </row>
    <row r="1264" spans="4:4" s="19" customFormat="1">
      <c r="D1264" s="115"/>
    </row>
    <row r="1265" spans="4:4" s="19" customFormat="1">
      <c r="D1265" s="115"/>
    </row>
    <row r="1266" spans="4:4" s="19" customFormat="1">
      <c r="D1266" s="115"/>
    </row>
    <row r="1267" spans="4:4" s="19" customFormat="1">
      <c r="D1267" s="115"/>
    </row>
    <row r="1268" spans="4:4" s="19" customFormat="1">
      <c r="D1268" s="115"/>
    </row>
    <row r="1269" spans="4:4" s="19" customFormat="1">
      <c r="D1269" s="115"/>
    </row>
    <row r="1270" spans="4:4" s="19" customFormat="1">
      <c r="D1270" s="115"/>
    </row>
    <row r="1271" spans="4:4" s="19" customFormat="1">
      <c r="D1271" s="115"/>
    </row>
    <row r="1272" spans="4:4" s="19" customFormat="1">
      <c r="D1272" s="115"/>
    </row>
    <row r="1273" spans="4:4" s="19" customFormat="1">
      <c r="D1273" s="115"/>
    </row>
    <row r="1274" spans="4:4" s="19" customFormat="1">
      <c r="D1274" s="115"/>
    </row>
    <row r="1275" spans="4:4" s="19" customFormat="1">
      <c r="D1275" s="115"/>
    </row>
    <row r="1276" spans="4:4" s="19" customFormat="1">
      <c r="D1276" s="115"/>
    </row>
    <row r="1277" spans="4:4" s="19" customFormat="1">
      <c r="D1277" s="115"/>
    </row>
    <row r="1278" spans="4:4" s="19" customFormat="1">
      <c r="D1278" s="115"/>
    </row>
    <row r="1279" spans="4:4" s="19" customFormat="1">
      <c r="D1279" s="115"/>
    </row>
    <row r="1280" spans="4:4" s="19" customFormat="1">
      <c r="D1280" s="115"/>
    </row>
    <row r="1281" spans="4:4" s="19" customFormat="1">
      <c r="D1281" s="115"/>
    </row>
    <row r="1282" spans="4:4" s="19" customFormat="1">
      <c r="D1282" s="115"/>
    </row>
    <row r="1283" spans="4:4" s="19" customFormat="1">
      <c r="D1283" s="115"/>
    </row>
    <row r="1284" spans="4:4" s="19" customFormat="1">
      <c r="D1284" s="115"/>
    </row>
    <row r="1285" spans="4:4" s="19" customFormat="1">
      <c r="D1285" s="115"/>
    </row>
    <row r="1286" spans="4:4" s="19" customFormat="1">
      <c r="D1286" s="115"/>
    </row>
    <row r="1287" spans="4:4" s="19" customFormat="1">
      <c r="D1287" s="115"/>
    </row>
    <row r="1288" spans="4:4" s="19" customFormat="1">
      <c r="D1288" s="115"/>
    </row>
    <row r="1289" spans="4:4" s="19" customFormat="1">
      <c r="D1289" s="115"/>
    </row>
    <row r="1290" spans="4:4" s="19" customFormat="1">
      <c r="D1290" s="115"/>
    </row>
    <row r="1291" spans="4:4" s="19" customFormat="1">
      <c r="D1291" s="115"/>
    </row>
    <row r="1292" spans="4:4" s="19" customFormat="1">
      <c r="D1292" s="115"/>
    </row>
    <row r="1293" spans="4:4" s="19" customFormat="1">
      <c r="D1293" s="115"/>
    </row>
    <row r="1294" spans="4:4" s="19" customFormat="1">
      <c r="D1294" s="115"/>
    </row>
    <row r="1295" spans="4:4" s="19" customFormat="1">
      <c r="D1295" s="115"/>
    </row>
    <row r="1296" spans="4:4" s="19" customFormat="1">
      <c r="D1296" s="115"/>
    </row>
    <row r="1297" spans="4:4" s="19" customFormat="1">
      <c r="D1297" s="115"/>
    </row>
    <row r="1298" spans="4:4" s="19" customFormat="1">
      <c r="D1298" s="115"/>
    </row>
    <row r="1299" spans="4:4" s="19" customFormat="1">
      <c r="D1299" s="115"/>
    </row>
    <row r="1300" spans="4:4" s="19" customFormat="1">
      <c r="D1300" s="115"/>
    </row>
    <row r="1301" spans="4:4" s="19" customFormat="1">
      <c r="D1301" s="115"/>
    </row>
    <row r="1302" spans="4:4" s="19" customFormat="1">
      <c r="D1302" s="115"/>
    </row>
    <row r="1303" spans="4:4" s="19" customFormat="1">
      <c r="D1303" s="115"/>
    </row>
    <row r="1304" spans="4:4" s="19" customFormat="1">
      <c r="D1304" s="115"/>
    </row>
    <row r="1305" spans="4:4" s="19" customFormat="1">
      <c r="D1305" s="115"/>
    </row>
    <row r="1306" spans="4:4" s="19" customFormat="1">
      <c r="D1306" s="115"/>
    </row>
    <row r="1307" spans="4:4" s="19" customFormat="1">
      <c r="D1307" s="115"/>
    </row>
    <row r="1308" spans="4:4" s="19" customFormat="1">
      <c r="D1308" s="115"/>
    </row>
    <row r="1309" spans="4:4" s="19" customFormat="1">
      <c r="D1309" s="115"/>
    </row>
    <row r="1310" spans="4:4" s="19" customFormat="1">
      <c r="D1310" s="115"/>
    </row>
    <row r="1311" spans="4:4" s="19" customFormat="1">
      <c r="D1311" s="115"/>
    </row>
    <row r="1312" spans="4:4" s="19" customFormat="1">
      <c r="D1312" s="115"/>
    </row>
    <row r="1313" spans="4:4" s="19" customFormat="1">
      <c r="D1313" s="115"/>
    </row>
    <row r="1314" spans="4:4" s="19" customFormat="1">
      <c r="D1314" s="115"/>
    </row>
    <row r="1315" spans="4:4" s="19" customFormat="1">
      <c r="D1315" s="115"/>
    </row>
    <row r="1316" spans="4:4" s="19" customFormat="1">
      <c r="D1316" s="115"/>
    </row>
    <row r="1317" spans="4:4" s="19" customFormat="1">
      <c r="D1317" s="115"/>
    </row>
    <row r="1318" spans="4:4" s="19" customFormat="1">
      <c r="D1318" s="115"/>
    </row>
    <row r="1319" spans="4:4" s="19" customFormat="1">
      <c r="D1319" s="115"/>
    </row>
    <row r="1320" spans="4:4" s="19" customFormat="1">
      <c r="D1320" s="115"/>
    </row>
    <row r="1321" spans="4:4" s="19" customFormat="1">
      <c r="D1321" s="115"/>
    </row>
    <row r="1322" spans="4:4" s="19" customFormat="1">
      <c r="D1322" s="115"/>
    </row>
    <row r="1323" spans="4:4" s="19" customFormat="1">
      <c r="D1323" s="115"/>
    </row>
    <row r="1324" spans="4:4" s="19" customFormat="1">
      <c r="D1324" s="115"/>
    </row>
    <row r="1325" spans="4:4" s="19" customFormat="1">
      <c r="D1325" s="115"/>
    </row>
    <row r="1326" spans="4:4" s="19" customFormat="1">
      <c r="D1326" s="115"/>
    </row>
    <row r="1327" spans="4:4" s="19" customFormat="1">
      <c r="D1327" s="115"/>
    </row>
    <row r="1328" spans="4:4" s="19" customFormat="1">
      <c r="D1328" s="115"/>
    </row>
    <row r="1329" spans="4:4" s="19" customFormat="1">
      <c r="D1329" s="115"/>
    </row>
    <row r="1330" spans="4:4" s="19" customFormat="1">
      <c r="D1330" s="115"/>
    </row>
    <row r="1331" spans="4:4" s="19" customFormat="1">
      <c r="D1331" s="115"/>
    </row>
    <row r="1332" spans="4:4" s="19" customFormat="1">
      <c r="D1332" s="115"/>
    </row>
    <row r="1333" spans="4:4" s="19" customFormat="1">
      <c r="D1333" s="115"/>
    </row>
    <row r="1334" spans="4:4" s="19" customFormat="1">
      <c r="D1334" s="115"/>
    </row>
    <row r="1335" spans="4:4" s="19" customFormat="1">
      <c r="D1335" s="115"/>
    </row>
    <row r="1336" spans="4:4" s="19" customFormat="1">
      <c r="D1336" s="115"/>
    </row>
    <row r="1337" spans="4:4" s="19" customFormat="1">
      <c r="D1337" s="115"/>
    </row>
    <row r="1338" spans="4:4" s="19" customFormat="1">
      <c r="D1338" s="115"/>
    </row>
    <row r="1339" spans="4:4" s="19" customFormat="1">
      <c r="D1339" s="115"/>
    </row>
    <row r="1340" spans="4:4" s="19" customFormat="1">
      <c r="D1340" s="115"/>
    </row>
    <row r="1341" spans="4:4" s="19" customFormat="1">
      <c r="D1341" s="115"/>
    </row>
    <row r="1342" spans="4:4" s="19" customFormat="1">
      <c r="D1342" s="115"/>
    </row>
    <row r="1343" spans="4:4" s="19" customFormat="1">
      <c r="D1343" s="115"/>
    </row>
    <row r="1344" spans="4:4" s="19" customFormat="1">
      <c r="D1344" s="115"/>
    </row>
    <row r="1345" spans="4:4" s="19" customFormat="1">
      <c r="D1345" s="115"/>
    </row>
    <row r="1346" spans="4:4" s="19" customFormat="1">
      <c r="D1346" s="115"/>
    </row>
    <row r="1347" spans="4:4" s="19" customFormat="1">
      <c r="D1347" s="115"/>
    </row>
    <row r="1348" spans="4:4" s="19" customFormat="1">
      <c r="D1348" s="115"/>
    </row>
    <row r="1349" spans="4:4" s="19" customFormat="1">
      <c r="D1349" s="115"/>
    </row>
    <row r="1350" spans="4:4" s="19" customFormat="1">
      <c r="D1350" s="115"/>
    </row>
    <row r="1351" spans="4:4" s="19" customFormat="1">
      <c r="D1351" s="115"/>
    </row>
    <row r="1352" spans="4:4" s="19" customFormat="1">
      <c r="D1352" s="115"/>
    </row>
    <row r="1353" spans="4:4" s="19" customFormat="1">
      <c r="D1353" s="115"/>
    </row>
    <row r="1354" spans="4:4" s="19" customFormat="1">
      <c r="D1354" s="115"/>
    </row>
    <row r="1355" spans="4:4" s="19" customFormat="1">
      <c r="D1355" s="115"/>
    </row>
    <row r="1356" spans="4:4" s="19" customFormat="1">
      <c r="D1356" s="115"/>
    </row>
    <row r="1357" spans="4:4" s="19" customFormat="1">
      <c r="D1357" s="115"/>
    </row>
    <row r="1358" spans="4:4" s="19" customFormat="1">
      <c r="D1358" s="115"/>
    </row>
    <row r="1359" spans="4:4" s="19" customFormat="1">
      <c r="D1359" s="115"/>
    </row>
    <row r="1360" spans="4:4" s="19" customFormat="1">
      <c r="D1360" s="115"/>
    </row>
    <row r="1361" spans="4:4" s="19" customFormat="1">
      <c r="D1361" s="115"/>
    </row>
    <row r="1362" spans="4:4" s="19" customFormat="1">
      <c r="D1362" s="115"/>
    </row>
    <row r="1363" spans="4:4" s="19" customFormat="1">
      <c r="D1363" s="115"/>
    </row>
    <row r="1364" spans="4:4" s="19" customFormat="1">
      <c r="D1364" s="115"/>
    </row>
    <row r="1365" spans="4:4" s="19" customFormat="1">
      <c r="D1365" s="115"/>
    </row>
    <row r="1366" spans="4:4" s="19" customFormat="1">
      <c r="D1366" s="115"/>
    </row>
    <row r="1367" spans="4:4" s="19" customFormat="1">
      <c r="D1367" s="115"/>
    </row>
    <row r="1368" spans="4:4" s="19" customFormat="1">
      <c r="D1368" s="115"/>
    </row>
    <row r="1369" spans="4:4" s="19" customFormat="1">
      <c r="D1369" s="115"/>
    </row>
    <row r="1370" spans="4:4" s="19" customFormat="1">
      <c r="D1370" s="115"/>
    </row>
    <row r="1371" spans="4:4" s="19" customFormat="1">
      <c r="D1371" s="115"/>
    </row>
    <row r="1372" spans="4:4" s="19" customFormat="1">
      <c r="D1372" s="115"/>
    </row>
    <row r="1373" spans="4:4" s="19" customFormat="1">
      <c r="D1373" s="115"/>
    </row>
    <row r="1374" spans="4:4" s="19" customFormat="1">
      <c r="D1374" s="115"/>
    </row>
    <row r="1375" spans="4:4" s="19" customFormat="1">
      <c r="D1375" s="115"/>
    </row>
    <row r="1376" spans="4:4" s="19" customFormat="1">
      <c r="D1376" s="115"/>
    </row>
    <row r="1377" spans="4:4" s="19" customFormat="1">
      <c r="D1377" s="115"/>
    </row>
    <row r="1378" spans="4:4" s="19" customFormat="1">
      <c r="D1378" s="115"/>
    </row>
    <row r="1379" spans="4:4" s="19" customFormat="1">
      <c r="D1379" s="115"/>
    </row>
    <row r="1380" spans="4:4" s="19" customFormat="1">
      <c r="D1380" s="115"/>
    </row>
    <row r="1381" spans="4:4" s="19" customFormat="1">
      <c r="D1381" s="115"/>
    </row>
    <row r="1382" spans="4:4" s="19" customFormat="1">
      <c r="D1382" s="115"/>
    </row>
    <row r="1383" spans="4:4" s="19" customFormat="1">
      <c r="D1383" s="115"/>
    </row>
    <row r="1384" spans="4:4" s="19" customFormat="1">
      <c r="D1384" s="115"/>
    </row>
    <row r="1385" spans="4:4" s="19" customFormat="1">
      <c r="D1385" s="115"/>
    </row>
    <row r="1386" spans="4:4" s="19" customFormat="1">
      <c r="D1386" s="115"/>
    </row>
    <row r="1387" spans="4:4" s="19" customFormat="1">
      <c r="D1387" s="115"/>
    </row>
    <row r="1388" spans="4:4" s="19" customFormat="1">
      <c r="D1388" s="115"/>
    </row>
    <row r="1389" spans="4:4" s="19" customFormat="1">
      <c r="D1389" s="115"/>
    </row>
    <row r="1390" spans="4:4" s="19" customFormat="1">
      <c r="D1390" s="115"/>
    </row>
    <row r="1391" spans="4:4" s="19" customFormat="1">
      <c r="D1391" s="115"/>
    </row>
    <row r="1392" spans="4:4" s="19" customFormat="1">
      <c r="D1392" s="115"/>
    </row>
    <row r="1393" spans="4:4" s="19" customFormat="1">
      <c r="D1393" s="115"/>
    </row>
    <row r="1394" spans="4:4" s="19" customFormat="1">
      <c r="D1394" s="115"/>
    </row>
    <row r="1395" spans="4:4" s="19" customFormat="1">
      <c r="D1395" s="115"/>
    </row>
    <row r="1396" spans="4:4" s="19" customFormat="1">
      <c r="D1396" s="115"/>
    </row>
    <row r="1397" spans="4:4" s="19" customFormat="1">
      <c r="D1397" s="115"/>
    </row>
    <row r="1398" spans="4:4" s="19" customFormat="1">
      <c r="D1398" s="115"/>
    </row>
    <row r="1399" spans="4:4" s="19" customFormat="1">
      <c r="D1399" s="115"/>
    </row>
    <row r="1400" spans="4:4" s="19" customFormat="1">
      <c r="D1400" s="115"/>
    </row>
    <row r="1401" spans="4:4" s="19" customFormat="1">
      <c r="D1401" s="115"/>
    </row>
    <row r="1402" spans="4:4" s="19" customFormat="1">
      <c r="D1402" s="115"/>
    </row>
    <row r="1403" spans="4:4" s="19" customFormat="1">
      <c r="D1403" s="115"/>
    </row>
    <row r="1404" spans="4:4" s="19" customFormat="1">
      <c r="D1404" s="115"/>
    </row>
    <row r="1405" spans="4:4" s="19" customFormat="1">
      <c r="D1405" s="115"/>
    </row>
    <row r="1406" spans="4:4" s="19" customFormat="1">
      <c r="D1406" s="115"/>
    </row>
    <row r="1407" spans="4:4" s="19" customFormat="1">
      <c r="D1407" s="115"/>
    </row>
    <row r="1408" spans="4:4" s="19" customFormat="1">
      <c r="D1408" s="115"/>
    </row>
    <row r="1409" spans="4:4" s="19" customFormat="1">
      <c r="D1409" s="115"/>
    </row>
    <row r="1410" spans="4:4" s="19" customFormat="1">
      <c r="D1410" s="115"/>
    </row>
    <row r="1411" spans="4:4" s="19" customFormat="1">
      <c r="D1411" s="115"/>
    </row>
    <row r="1412" spans="4:4" s="19" customFormat="1">
      <c r="D1412" s="115"/>
    </row>
    <row r="1413" spans="4:4" s="19" customFormat="1">
      <c r="D1413" s="115"/>
    </row>
    <row r="1414" spans="4:4" s="19" customFormat="1">
      <c r="D1414" s="115"/>
    </row>
    <row r="1415" spans="4:4" s="19" customFormat="1">
      <c r="D1415" s="115"/>
    </row>
    <row r="1416" spans="4:4" s="19" customFormat="1">
      <c r="D1416" s="115"/>
    </row>
    <row r="1417" spans="4:4" s="19" customFormat="1">
      <c r="D1417" s="115"/>
    </row>
    <row r="1418" spans="4:4" s="19" customFormat="1">
      <c r="D1418" s="115"/>
    </row>
    <row r="1419" spans="4:4" s="19" customFormat="1">
      <c r="D1419" s="115"/>
    </row>
    <row r="1420" spans="4:4" s="19" customFormat="1">
      <c r="D1420" s="115"/>
    </row>
    <row r="1421" spans="4:4" s="19" customFormat="1">
      <c r="D1421" s="115"/>
    </row>
    <row r="1422" spans="4:4" s="19" customFormat="1">
      <c r="D1422" s="115"/>
    </row>
    <row r="1423" spans="4:4" s="19" customFormat="1">
      <c r="D1423" s="115"/>
    </row>
    <row r="1424" spans="4:4" s="19" customFormat="1">
      <c r="D1424" s="115"/>
    </row>
    <row r="1425" spans="4:4" s="19" customFormat="1">
      <c r="D1425" s="115"/>
    </row>
    <row r="1426" spans="4:4" s="19" customFormat="1">
      <c r="D1426" s="115"/>
    </row>
    <row r="1427" spans="4:4" s="19" customFormat="1">
      <c r="D1427" s="115"/>
    </row>
    <row r="1428" spans="4:4" s="19" customFormat="1">
      <c r="D1428" s="115"/>
    </row>
    <row r="1429" spans="4:4" s="19" customFormat="1">
      <c r="D1429" s="115"/>
    </row>
    <row r="1430" spans="4:4" s="19" customFormat="1">
      <c r="D1430" s="115"/>
    </row>
    <row r="1431" spans="4:4" s="19" customFormat="1">
      <c r="D1431" s="115"/>
    </row>
    <row r="1432" spans="4:4" s="19" customFormat="1">
      <c r="D1432" s="115"/>
    </row>
    <row r="1433" spans="4:4" s="19" customFormat="1">
      <c r="D1433" s="115"/>
    </row>
    <row r="1434" spans="4:4" s="19" customFormat="1">
      <c r="D1434" s="115"/>
    </row>
    <row r="1435" spans="4:4" s="19" customFormat="1">
      <c r="D1435" s="115"/>
    </row>
    <row r="1436" spans="4:4" s="19" customFormat="1">
      <c r="D1436" s="115"/>
    </row>
    <row r="1437" spans="4:4" s="19" customFormat="1">
      <c r="D1437" s="115"/>
    </row>
    <row r="1438" spans="4:4" s="19" customFormat="1">
      <c r="D1438" s="115"/>
    </row>
    <row r="1439" spans="4:4" s="19" customFormat="1">
      <c r="D1439" s="115"/>
    </row>
    <row r="1440" spans="4:4" s="19" customFormat="1">
      <c r="D1440" s="115"/>
    </row>
    <row r="1441" spans="4:4" s="19" customFormat="1">
      <c r="D1441" s="115"/>
    </row>
    <row r="1442" spans="4:4" s="19" customFormat="1">
      <c r="D1442" s="115"/>
    </row>
    <row r="1443" spans="4:4" s="19" customFormat="1">
      <c r="D1443" s="115"/>
    </row>
    <row r="1444" spans="4:4" s="19" customFormat="1">
      <c r="D1444" s="115"/>
    </row>
    <row r="1445" spans="4:4" s="19" customFormat="1">
      <c r="D1445" s="115"/>
    </row>
    <row r="1446" spans="4:4" s="19" customFormat="1">
      <c r="D1446" s="115"/>
    </row>
    <row r="1447" spans="4:4" s="19" customFormat="1">
      <c r="D1447" s="115"/>
    </row>
    <row r="1448" spans="4:4" s="19" customFormat="1">
      <c r="D1448" s="115"/>
    </row>
    <row r="1449" spans="4:4" s="19" customFormat="1">
      <c r="D1449" s="115"/>
    </row>
    <row r="1450" spans="4:4" s="19" customFormat="1">
      <c r="D1450" s="115"/>
    </row>
    <row r="1451" spans="4:4" s="19" customFormat="1">
      <c r="D1451" s="115"/>
    </row>
    <row r="1452" spans="4:4" s="19" customFormat="1">
      <c r="D1452" s="115"/>
    </row>
    <row r="1453" spans="4:4" s="19" customFormat="1">
      <c r="D1453" s="115"/>
    </row>
    <row r="1454" spans="4:4" s="19" customFormat="1">
      <c r="D1454" s="115"/>
    </row>
    <row r="1455" spans="4:4" s="19" customFormat="1">
      <c r="D1455" s="115"/>
    </row>
    <row r="1456" spans="4:4" s="19" customFormat="1">
      <c r="D1456" s="115"/>
    </row>
    <row r="1457" spans="4:4" s="19" customFormat="1">
      <c r="D1457" s="115"/>
    </row>
    <row r="1458" spans="4:4" s="19" customFormat="1">
      <c r="D1458" s="115"/>
    </row>
    <row r="1459" spans="4:4" s="19" customFormat="1">
      <c r="D1459" s="115"/>
    </row>
    <row r="1460" spans="4:4" s="19" customFormat="1">
      <c r="D1460" s="115"/>
    </row>
    <row r="1461" spans="4:4" s="19" customFormat="1">
      <c r="D1461" s="115"/>
    </row>
    <row r="1462" spans="4:4" s="19" customFormat="1">
      <c r="D1462" s="115"/>
    </row>
    <row r="1463" spans="4:4" s="19" customFormat="1">
      <c r="D1463" s="115"/>
    </row>
    <row r="1464" spans="4:4" s="19" customFormat="1">
      <c r="D1464" s="115"/>
    </row>
    <row r="1465" spans="4:4" s="19" customFormat="1">
      <c r="D1465" s="115"/>
    </row>
    <row r="1466" spans="4:4" s="19" customFormat="1">
      <c r="D1466" s="115"/>
    </row>
    <row r="1467" spans="4:4" s="19" customFormat="1">
      <c r="D1467" s="115"/>
    </row>
    <row r="1468" spans="4:4" s="19" customFormat="1">
      <c r="D1468" s="115"/>
    </row>
    <row r="1469" spans="4:4" s="19" customFormat="1">
      <c r="D1469" s="115"/>
    </row>
    <row r="1470" spans="4:4" s="19" customFormat="1">
      <c r="D1470" s="115"/>
    </row>
    <row r="1471" spans="4:4" s="19" customFormat="1">
      <c r="D1471" s="115"/>
    </row>
    <row r="1472" spans="4:4" s="19" customFormat="1">
      <c r="D1472" s="115"/>
    </row>
    <row r="1473" spans="4:4" s="19" customFormat="1">
      <c r="D1473" s="115"/>
    </row>
    <row r="1474" spans="4:4" s="19" customFormat="1">
      <c r="D1474" s="115"/>
    </row>
    <row r="1475" spans="4:4" s="19" customFormat="1">
      <c r="D1475" s="115"/>
    </row>
    <row r="1476" spans="4:4" s="19" customFormat="1">
      <c r="D1476" s="115"/>
    </row>
    <row r="1477" spans="4:4" s="19" customFormat="1">
      <c r="D1477" s="115"/>
    </row>
    <row r="1478" spans="4:4" s="19" customFormat="1">
      <c r="D1478" s="115"/>
    </row>
    <row r="1479" spans="4:4" s="19" customFormat="1">
      <c r="D1479" s="115"/>
    </row>
    <row r="1480" spans="4:4" s="19" customFormat="1">
      <c r="D1480" s="115"/>
    </row>
    <row r="1481" spans="4:4" s="19" customFormat="1">
      <c r="D1481" s="115"/>
    </row>
    <row r="1482" spans="4:4" s="19" customFormat="1">
      <c r="D1482" s="115"/>
    </row>
    <row r="1483" spans="4:4" s="19" customFormat="1">
      <c r="D1483" s="115"/>
    </row>
    <row r="1484" spans="4:4" s="19" customFormat="1">
      <c r="D1484" s="115"/>
    </row>
    <row r="1485" spans="4:4" s="19" customFormat="1">
      <c r="D1485" s="115"/>
    </row>
    <row r="1486" spans="4:4" s="19" customFormat="1">
      <c r="D1486" s="115"/>
    </row>
    <row r="1487" spans="4:4" s="19" customFormat="1">
      <c r="D1487" s="115"/>
    </row>
    <row r="1488" spans="4:4" s="19" customFormat="1">
      <c r="D1488" s="115"/>
    </row>
    <row r="1489" spans="4:4" s="19" customFormat="1">
      <c r="D1489" s="115"/>
    </row>
    <row r="1490" spans="4:4" s="19" customFormat="1">
      <c r="D1490" s="115"/>
    </row>
    <row r="1491" spans="4:4" s="19" customFormat="1">
      <c r="D1491" s="115"/>
    </row>
    <row r="1492" spans="4:4" s="19" customFormat="1">
      <c r="D1492" s="115"/>
    </row>
    <row r="1493" spans="4:4" s="19" customFormat="1">
      <c r="D1493" s="115"/>
    </row>
    <row r="1494" spans="4:4" s="19" customFormat="1">
      <c r="D1494" s="115"/>
    </row>
    <row r="1495" spans="4:4" s="19" customFormat="1">
      <c r="D1495" s="115"/>
    </row>
    <row r="1496" spans="4:4" s="19" customFormat="1">
      <c r="D1496" s="115"/>
    </row>
    <row r="1497" spans="4:4" s="19" customFormat="1">
      <c r="D1497" s="115"/>
    </row>
    <row r="1498" spans="4:4" s="19" customFormat="1">
      <c r="D1498" s="115"/>
    </row>
    <row r="1499" spans="4:4" s="19" customFormat="1">
      <c r="D1499" s="115"/>
    </row>
    <row r="1500" spans="4:4" s="19" customFormat="1">
      <c r="D1500" s="115"/>
    </row>
    <row r="1501" spans="4:4" s="19" customFormat="1">
      <c r="D1501" s="115"/>
    </row>
    <row r="1502" spans="4:4" s="19" customFormat="1">
      <c r="D1502" s="115"/>
    </row>
    <row r="1503" spans="4:4" s="19" customFormat="1">
      <c r="D1503" s="115"/>
    </row>
    <row r="1504" spans="4:4" s="19" customFormat="1">
      <c r="D1504" s="115"/>
    </row>
    <row r="1505" spans="4:4" s="19" customFormat="1">
      <c r="D1505" s="115"/>
    </row>
    <row r="1506" spans="4:4" s="19" customFormat="1">
      <c r="D1506" s="115"/>
    </row>
    <row r="1507" spans="4:4" s="19" customFormat="1">
      <c r="D1507" s="115"/>
    </row>
    <row r="1508" spans="4:4" s="19" customFormat="1">
      <c r="D1508" s="115"/>
    </row>
    <row r="1509" spans="4:4" s="19" customFormat="1">
      <c r="D1509" s="115"/>
    </row>
    <row r="1510" spans="4:4" s="19" customFormat="1">
      <c r="D1510" s="115"/>
    </row>
    <row r="1511" spans="4:4" s="19" customFormat="1">
      <c r="D1511" s="115"/>
    </row>
    <row r="1512" spans="4:4" s="19" customFormat="1">
      <c r="D1512" s="115"/>
    </row>
    <row r="1513" spans="4:4" s="19" customFormat="1">
      <c r="D1513" s="115"/>
    </row>
    <row r="1514" spans="4:4" s="19" customFormat="1">
      <c r="D1514" s="115"/>
    </row>
    <row r="1515" spans="4:4" s="19" customFormat="1">
      <c r="D1515" s="115"/>
    </row>
    <row r="1516" spans="4:4" s="19" customFormat="1">
      <c r="D1516" s="115"/>
    </row>
    <row r="1517" spans="4:4" s="19" customFormat="1">
      <c r="D1517" s="115"/>
    </row>
    <row r="1518" spans="4:4" s="19" customFormat="1">
      <c r="D1518" s="115"/>
    </row>
    <row r="1519" spans="4:4" s="19" customFormat="1">
      <c r="D1519" s="115"/>
    </row>
    <row r="1520" spans="4:4" s="19" customFormat="1">
      <c r="D1520" s="115"/>
    </row>
    <row r="1521" spans="4:4" s="19" customFormat="1">
      <c r="D1521" s="115"/>
    </row>
    <row r="1522" spans="4:4" s="19" customFormat="1">
      <c r="D1522" s="115"/>
    </row>
    <row r="1523" spans="4:4" s="19" customFormat="1">
      <c r="D1523" s="115"/>
    </row>
    <row r="1524" spans="4:4" s="19" customFormat="1">
      <c r="D1524" s="115"/>
    </row>
    <row r="1525" spans="4:4" s="19" customFormat="1">
      <c r="D1525" s="115"/>
    </row>
    <row r="1526" spans="4:4" s="19" customFormat="1">
      <c r="D1526" s="115"/>
    </row>
    <row r="1527" spans="4:4" s="19" customFormat="1">
      <c r="D1527" s="115"/>
    </row>
    <row r="1528" spans="4:4" s="19" customFormat="1">
      <c r="D1528" s="115"/>
    </row>
    <row r="1529" spans="4:4" s="19" customFormat="1">
      <c r="D1529" s="115"/>
    </row>
    <row r="1530" spans="4:4" s="19" customFormat="1">
      <c r="D1530" s="115"/>
    </row>
    <row r="1531" spans="4:4" s="19" customFormat="1">
      <c r="D1531" s="115"/>
    </row>
    <row r="1532" spans="4:4" s="19" customFormat="1">
      <c r="D1532" s="115"/>
    </row>
    <row r="1533" spans="4:4" s="19" customFormat="1">
      <c r="D1533" s="115"/>
    </row>
    <row r="1534" spans="4:4" s="19" customFormat="1">
      <c r="D1534" s="115"/>
    </row>
    <row r="1535" spans="4:4" s="19" customFormat="1">
      <c r="D1535" s="115"/>
    </row>
    <row r="1536" spans="4:4" s="19" customFormat="1">
      <c r="D1536" s="115"/>
    </row>
    <row r="1537" spans="4:4" s="19" customFormat="1">
      <c r="D1537" s="115"/>
    </row>
    <row r="1538" spans="4:4" s="19" customFormat="1">
      <c r="D1538" s="115"/>
    </row>
    <row r="1539" spans="4:4" s="19" customFormat="1">
      <c r="D1539" s="115"/>
    </row>
    <row r="1540" spans="4:4" s="19" customFormat="1">
      <c r="D1540" s="115"/>
    </row>
    <row r="1541" spans="4:4" s="19" customFormat="1">
      <c r="D1541" s="115"/>
    </row>
    <row r="1542" spans="4:4" s="19" customFormat="1">
      <c r="D1542" s="115"/>
    </row>
    <row r="1543" spans="4:4" s="19" customFormat="1">
      <c r="D1543" s="115"/>
    </row>
    <row r="1544" spans="4:4" s="19" customFormat="1">
      <c r="D1544" s="115"/>
    </row>
    <row r="1545" spans="4:4" s="19" customFormat="1">
      <c r="D1545" s="115"/>
    </row>
    <row r="1546" spans="4:4" s="19" customFormat="1">
      <c r="D1546" s="115"/>
    </row>
    <row r="1547" spans="4:4" s="19" customFormat="1">
      <c r="D1547" s="115"/>
    </row>
    <row r="1548" spans="4:4" s="19" customFormat="1">
      <c r="D1548" s="115"/>
    </row>
    <row r="1549" spans="4:4" s="19" customFormat="1">
      <c r="D1549" s="115"/>
    </row>
    <row r="1550" spans="4:4" s="19" customFormat="1">
      <c r="D1550" s="115"/>
    </row>
    <row r="1551" spans="4:4" s="19" customFormat="1">
      <c r="D1551" s="115"/>
    </row>
    <row r="1552" spans="4:4" s="19" customFormat="1">
      <c r="D1552" s="115"/>
    </row>
    <row r="1553" spans="4:4" s="19" customFormat="1">
      <c r="D1553" s="115"/>
    </row>
    <row r="1554" spans="4:4" s="19" customFormat="1">
      <c r="D1554" s="115"/>
    </row>
    <row r="1555" spans="4:4" s="19" customFormat="1">
      <c r="D1555" s="115"/>
    </row>
    <row r="1556" spans="4:4" s="19" customFormat="1">
      <c r="D1556" s="115"/>
    </row>
    <row r="1557" spans="4:4" s="19" customFormat="1">
      <c r="D1557" s="115"/>
    </row>
    <row r="1558" spans="4:4" s="19" customFormat="1">
      <c r="D1558" s="115"/>
    </row>
    <row r="1559" spans="4:4" s="19" customFormat="1">
      <c r="D1559" s="115"/>
    </row>
    <row r="1560" spans="4:4" s="19" customFormat="1">
      <c r="D1560" s="115"/>
    </row>
    <row r="1561" spans="4:4" s="19" customFormat="1">
      <c r="D1561" s="115"/>
    </row>
    <row r="1562" spans="4:4" s="19" customFormat="1">
      <c r="D1562" s="115"/>
    </row>
    <row r="1563" spans="4:4" s="19" customFormat="1">
      <c r="D1563" s="115"/>
    </row>
    <row r="1564" spans="4:4" s="19" customFormat="1">
      <c r="D1564" s="115"/>
    </row>
    <row r="1565" spans="4:4" s="19" customFormat="1">
      <c r="D1565" s="115"/>
    </row>
    <row r="1566" spans="4:4" s="19" customFormat="1">
      <c r="D1566" s="115"/>
    </row>
    <row r="1567" spans="4:4" s="19" customFormat="1">
      <c r="D1567" s="115"/>
    </row>
    <row r="1568" spans="4:4" s="19" customFormat="1">
      <c r="D1568" s="115"/>
    </row>
    <row r="1569" spans="4:4" s="19" customFormat="1">
      <c r="D1569" s="115"/>
    </row>
    <row r="1570" spans="4:4" s="19" customFormat="1">
      <c r="D1570" s="115"/>
    </row>
    <row r="1571" spans="4:4" s="19" customFormat="1">
      <c r="D1571" s="115"/>
    </row>
    <row r="1572" spans="4:4" s="19" customFormat="1">
      <c r="D1572" s="115"/>
    </row>
    <row r="1573" spans="4:4" s="19" customFormat="1">
      <c r="D1573" s="115"/>
    </row>
    <row r="1574" spans="4:4" s="19" customFormat="1">
      <c r="D1574" s="115"/>
    </row>
    <row r="1575" spans="4:4" s="19" customFormat="1">
      <c r="D1575" s="115"/>
    </row>
    <row r="1576" spans="4:4" s="19" customFormat="1">
      <c r="D1576" s="115"/>
    </row>
    <row r="1577" spans="4:4" s="19" customFormat="1">
      <c r="D1577" s="115"/>
    </row>
    <row r="1578" spans="4:4" s="19" customFormat="1">
      <c r="D1578" s="115"/>
    </row>
    <row r="1579" spans="4:4" s="19" customFormat="1">
      <c r="D1579" s="115"/>
    </row>
    <row r="1580" spans="4:4" s="19" customFormat="1">
      <c r="D1580" s="115"/>
    </row>
    <row r="1581" spans="4:4" s="19" customFormat="1">
      <c r="D1581" s="115"/>
    </row>
    <row r="1582" spans="4:4" s="19" customFormat="1">
      <c r="D1582" s="115"/>
    </row>
    <row r="1583" spans="4:4" s="19" customFormat="1">
      <c r="D1583" s="115"/>
    </row>
    <row r="1584" spans="4:4" s="19" customFormat="1">
      <c r="D1584" s="115"/>
    </row>
    <row r="1585" spans="4:4" s="19" customFormat="1">
      <c r="D1585" s="115"/>
    </row>
    <row r="1586" spans="4:4" s="19" customFormat="1">
      <c r="D1586" s="115"/>
    </row>
    <row r="1587" spans="4:4" s="19" customFormat="1">
      <c r="D1587" s="115"/>
    </row>
    <row r="1588" spans="4:4" s="19" customFormat="1">
      <c r="D1588" s="115"/>
    </row>
    <row r="1589" spans="4:4" s="19" customFormat="1">
      <c r="D1589" s="115"/>
    </row>
    <row r="1590" spans="4:4" s="19" customFormat="1">
      <c r="D1590" s="115"/>
    </row>
    <row r="1591" spans="4:4" s="19" customFormat="1">
      <c r="D1591" s="115"/>
    </row>
    <row r="1592" spans="4:4" s="19" customFormat="1">
      <c r="D1592" s="115"/>
    </row>
    <row r="1593" spans="4:4" s="19" customFormat="1">
      <c r="D1593" s="115"/>
    </row>
    <row r="1594" spans="4:4" s="19" customFormat="1">
      <c r="D1594" s="115"/>
    </row>
    <row r="1595" spans="4:4" s="19" customFormat="1">
      <c r="D1595" s="115"/>
    </row>
    <row r="1596" spans="4:4" s="19" customFormat="1">
      <c r="D1596" s="115"/>
    </row>
    <row r="1597" spans="4:4" s="19" customFormat="1">
      <c r="D1597" s="115"/>
    </row>
    <row r="1598" spans="4:4" s="19" customFormat="1">
      <c r="D1598" s="115"/>
    </row>
    <row r="1599" spans="4:4" s="19" customFormat="1">
      <c r="D1599" s="115"/>
    </row>
    <row r="1600" spans="4:4" s="19" customFormat="1">
      <c r="D1600" s="115"/>
    </row>
    <row r="1601" spans="4:4" s="19" customFormat="1">
      <c r="D1601" s="115"/>
    </row>
    <row r="1602" spans="4:4" s="19" customFormat="1">
      <c r="D1602" s="115"/>
    </row>
    <row r="1603" spans="4:4" s="19" customFormat="1">
      <c r="D1603" s="115"/>
    </row>
    <row r="1604" spans="4:4" s="19" customFormat="1">
      <c r="D1604" s="115"/>
    </row>
    <row r="1605" spans="4:4" s="19" customFormat="1">
      <c r="D1605" s="115"/>
    </row>
    <row r="1606" spans="4:4" s="19" customFormat="1">
      <c r="D1606" s="115"/>
    </row>
    <row r="1607" spans="4:4" s="19" customFormat="1">
      <c r="D1607" s="115"/>
    </row>
    <row r="1608" spans="4:4" s="19" customFormat="1">
      <c r="D1608" s="115"/>
    </row>
    <row r="1609" spans="4:4" s="19" customFormat="1">
      <c r="D1609" s="115"/>
    </row>
    <row r="1610" spans="4:4" s="19" customFormat="1">
      <c r="D1610" s="115"/>
    </row>
    <row r="1611" spans="4:4" s="19" customFormat="1">
      <c r="D1611" s="115"/>
    </row>
    <row r="1612" spans="4:4" s="19" customFormat="1">
      <c r="D1612" s="115"/>
    </row>
    <row r="1613" spans="4:4" s="19" customFormat="1">
      <c r="D1613" s="115"/>
    </row>
    <row r="1614" spans="4:4" s="19" customFormat="1">
      <c r="D1614" s="115"/>
    </row>
    <row r="1615" spans="4:4" s="19" customFormat="1">
      <c r="D1615" s="115"/>
    </row>
    <row r="1616" spans="4:4" s="19" customFormat="1">
      <c r="D1616" s="115"/>
    </row>
    <row r="1617" spans="4:4" s="19" customFormat="1">
      <c r="D1617" s="115"/>
    </row>
    <row r="1618" spans="4:4" s="19" customFormat="1">
      <c r="D1618" s="115"/>
    </row>
    <row r="1619" spans="4:4" s="19" customFormat="1">
      <c r="D1619" s="115"/>
    </row>
    <row r="1620" spans="4:4" s="19" customFormat="1">
      <c r="D1620" s="115"/>
    </row>
    <row r="1621" spans="4:4" s="19" customFormat="1">
      <c r="D1621" s="115"/>
    </row>
    <row r="1622" spans="4:4" s="19" customFormat="1">
      <c r="D1622" s="115"/>
    </row>
    <row r="1623" spans="4:4" s="19" customFormat="1">
      <c r="D1623" s="115"/>
    </row>
    <row r="1624" spans="4:4" s="19" customFormat="1">
      <c r="D1624" s="115"/>
    </row>
    <row r="1625" spans="4:4" s="19" customFormat="1">
      <c r="D1625" s="115"/>
    </row>
    <row r="1626" spans="4:4" s="19" customFormat="1">
      <c r="D1626" s="115"/>
    </row>
    <row r="1627" spans="4:4" s="19" customFormat="1">
      <c r="D1627" s="115"/>
    </row>
    <row r="1628" spans="4:4" s="19" customFormat="1">
      <c r="D1628" s="115"/>
    </row>
    <row r="1629" spans="4:4" s="19" customFormat="1">
      <c r="D1629" s="115"/>
    </row>
    <row r="1630" spans="4:4" s="19" customFormat="1">
      <c r="D1630" s="115"/>
    </row>
    <row r="1631" spans="4:4" s="19" customFormat="1">
      <c r="D1631" s="115"/>
    </row>
    <row r="1632" spans="4:4" s="19" customFormat="1">
      <c r="D1632" s="115"/>
    </row>
    <row r="1633" spans="4:4" s="19" customFormat="1">
      <c r="D1633" s="115"/>
    </row>
    <row r="1634" spans="4:4" s="19" customFormat="1">
      <c r="D1634" s="115"/>
    </row>
    <row r="1635" spans="4:4" s="19" customFormat="1">
      <c r="D1635" s="115"/>
    </row>
    <row r="1636" spans="4:4" s="19" customFormat="1">
      <c r="D1636" s="115"/>
    </row>
    <row r="1637" spans="4:4" s="19" customFormat="1">
      <c r="D1637" s="115"/>
    </row>
    <row r="1638" spans="4:4" s="19" customFormat="1">
      <c r="D1638" s="115"/>
    </row>
    <row r="1639" spans="4:4" s="19" customFormat="1">
      <c r="D1639" s="115"/>
    </row>
    <row r="1640" spans="4:4" s="19" customFormat="1">
      <c r="D1640" s="115"/>
    </row>
    <row r="1641" spans="4:4" s="19" customFormat="1">
      <c r="D1641" s="115"/>
    </row>
    <row r="1642" spans="4:4" s="19" customFormat="1">
      <c r="D1642" s="115"/>
    </row>
    <row r="1643" spans="4:4" s="19" customFormat="1">
      <c r="D1643" s="115"/>
    </row>
    <row r="1644" spans="4:4" s="19" customFormat="1">
      <c r="D1644" s="115"/>
    </row>
    <row r="1645" spans="4:4" s="19" customFormat="1">
      <c r="D1645" s="115"/>
    </row>
    <row r="1646" spans="4:4" s="19" customFormat="1">
      <c r="D1646" s="115"/>
    </row>
    <row r="1647" spans="4:4" s="19" customFormat="1">
      <c r="D1647" s="115"/>
    </row>
    <row r="1648" spans="4:4" s="19" customFormat="1">
      <c r="D1648" s="115"/>
    </row>
    <row r="1649" spans="4:4" s="19" customFormat="1">
      <c r="D1649" s="115"/>
    </row>
    <row r="1650" spans="4:4" s="19" customFormat="1">
      <c r="D1650" s="115"/>
    </row>
    <row r="1651" spans="4:4" s="19" customFormat="1">
      <c r="D1651" s="115"/>
    </row>
    <row r="1652" spans="4:4" s="19" customFormat="1">
      <c r="D1652" s="115"/>
    </row>
    <row r="1653" spans="4:4" s="19" customFormat="1">
      <c r="D1653" s="115"/>
    </row>
    <row r="1654" spans="4:4" s="19" customFormat="1">
      <c r="D1654" s="115"/>
    </row>
    <row r="1655" spans="4:4" s="19" customFormat="1">
      <c r="D1655" s="115"/>
    </row>
    <row r="1656" spans="4:4" s="19" customFormat="1">
      <c r="D1656" s="115"/>
    </row>
    <row r="1657" spans="4:4" s="19" customFormat="1">
      <c r="D1657" s="115"/>
    </row>
    <row r="1658" spans="4:4" s="19" customFormat="1">
      <c r="D1658" s="115"/>
    </row>
    <row r="1659" spans="4:4" s="19" customFormat="1">
      <c r="D1659" s="115"/>
    </row>
    <row r="1660" spans="4:4" s="19" customFormat="1">
      <c r="D1660" s="115"/>
    </row>
    <row r="1661" spans="4:4" s="19" customFormat="1">
      <c r="D1661" s="115"/>
    </row>
    <row r="1662" spans="4:4" s="19" customFormat="1">
      <c r="D1662" s="115"/>
    </row>
    <row r="1663" spans="4:4" s="19" customFormat="1">
      <c r="D1663" s="115"/>
    </row>
    <row r="1664" spans="4:4" s="19" customFormat="1">
      <c r="D1664" s="115"/>
    </row>
    <row r="1665" spans="4:4" s="19" customFormat="1">
      <c r="D1665" s="115"/>
    </row>
    <row r="1666" spans="4:4" s="19" customFormat="1">
      <c r="D1666" s="115"/>
    </row>
    <row r="1667" spans="4:4" s="19" customFormat="1">
      <c r="D1667" s="115"/>
    </row>
    <row r="1668" spans="4:4" s="19" customFormat="1">
      <c r="D1668" s="115"/>
    </row>
    <row r="1669" spans="4:4" s="19" customFormat="1">
      <c r="D1669" s="115"/>
    </row>
    <row r="1670" spans="4:4" s="19" customFormat="1">
      <c r="D1670" s="115"/>
    </row>
    <row r="1671" spans="4:4" s="19" customFormat="1">
      <c r="D1671" s="115"/>
    </row>
    <row r="1672" spans="4:4" s="19" customFormat="1">
      <c r="D1672" s="115"/>
    </row>
    <row r="1673" spans="4:4" s="19" customFormat="1">
      <c r="D1673" s="115"/>
    </row>
    <row r="1674" spans="4:4" s="19" customFormat="1">
      <c r="D1674" s="115"/>
    </row>
    <row r="1675" spans="4:4" s="19" customFormat="1">
      <c r="D1675" s="115"/>
    </row>
    <row r="1676" spans="4:4" s="19" customFormat="1">
      <c r="D1676" s="115"/>
    </row>
    <row r="1677" spans="4:4" s="19" customFormat="1">
      <c r="D1677" s="115"/>
    </row>
    <row r="1678" spans="4:4" s="19" customFormat="1">
      <c r="D1678" s="115"/>
    </row>
    <row r="1679" spans="4:4" s="19" customFormat="1">
      <c r="D1679" s="115"/>
    </row>
    <row r="1680" spans="4:4" s="19" customFormat="1">
      <c r="D1680" s="115"/>
    </row>
    <row r="1681" spans="4:4" s="19" customFormat="1">
      <c r="D1681" s="115"/>
    </row>
    <row r="1682" spans="4:4" s="19" customFormat="1">
      <c r="D1682" s="115"/>
    </row>
    <row r="1683" spans="4:4" s="19" customFormat="1">
      <c r="D1683" s="115"/>
    </row>
    <row r="1684" spans="4:4" s="19" customFormat="1">
      <c r="D1684" s="115"/>
    </row>
    <row r="1685" spans="4:4" s="19" customFormat="1">
      <c r="D1685" s="115"/>
    </row>
    <row r="1686" spans="4:4" s="19" customFormat="1">
      <c r="D1686" s="115"/>
    </row>
    <row r="1687" spans="4:4" s="19" customFormat="1">
      <c r="D1687" s="115"/>
    </row>
    <row r="1688" spans="4:4" s="19" customFormat="1">
      <c r="D1688" s="115"/>
    </row>
    <row r="1689" spans="4:4" s="19" customFormat="1">
      <c r="D1689" s="115"/>
    </row>
    <row r="1690" spans="4:4" s="19" customFormat="1">
      <c r="D1690" s="115"/>
    </row>
    <row r="1691" spans="4:4" s="19" customFormat="1">
      <c r="D1691" s="115"/>
    </row>
    <row r="1692" spans="4:4" s="19" customFormat="1">
      <c r="D1692" s="115"/>
    </row>
    <row r="1693" spans="4:4" s="19" customFormat="1">
      <c r="D1693" s="115"/>
    </row>
    <row r="1694" spans="4:4" s="19" customFormat="1">
      <c r="D1694" s="115"/>
    </row>
    <row r="1695" spans="4:4" s="19" customFormat="1">
      <c r="D1695" s="115"/>
    </row>
    <row r="1696" spans="4:4" s="19" customFormat="1">
      <c r="D1696" s="115"/>
    </row>
    <row r="1697" spans="4:4" s="19" customFormat="1">
      <c r="D1697" s="115"/>
    </row>
    <row r="1698" spans="4:4" s="19" customFormat="1">
      <c r="D1698" s="115"/>
    </row>
    <row r="1699" spans="4:4" s="19" customFormat="1">
      <c r="D1699" s="115"/>
    </row>
    <row r="1700" spans="4:4" s="19" customFormat="1">
      <c r="D1700" s="115"/>
    </row>
    <row r="1701" spans="4:4" s="19" customFormat="1">
      <c r="D1701" s="115"/>
    </row>
    <row r="1702" spans="4:4" s="19" customFormat="1">
      <c r="D1702" s="115"/>
    </row>
    <row r="1703" spans="4:4" s="19" customFormat="1">
      <c r="D1703" s="115"/>
    </row>
    <row r="1704" spans="4:4" s="19" customFormat="1">
      <c r="D1704" s="115"/>
    </row>
    <row r="1705" spans="4:4" s="19" customFormat="1">
      <c r="D1705" s="115"/>
    </row>
    <row r="1706" spans="4:4" s="19" customFormat="1">
      <c r="D1706" s="115"/>
    </row>
    <row r="1707" spans="4:4" s="19" customFormat="1">
      <c r="D1707" s="115"/>
    </row>
    <row r="1708" spans="4:4" s="19" customFormat="1">
      <c r="D1708" s="115"/>
    </row>
    <row r="1709" spans="4:4" s="19" customFormat="1">
      <c r="D1709" s="115"/>
    </row>
    <row r="1710" spans="4:4" s="19" customFormat="1">
      <c r="D1710" s="115"/>
    </row>
    <row r="1711" spans="4:4" s="19" customFormat="1">
      <c r="D1711" s="115"/>
    </row>
    <row r="1712" spans="4:4" s="19" customFormat="1">
      <c r="D1712" s="115"/>
    </row>
    <row r="1713" spans="4:4" s="19" customFormat="1">
      <c r="D1713" s="115"/>
    </row>
    <row r="1714" spans="4:4" s="19" customFormat="1">
      <c r="D1714" s="115"/>
    </row>
    <row r="1715" spans="4:4" s="19" customFormat="1">
      <c r="D1715" s="115"/>
    </row>
    <row r="1716" spans="4:4" s="19" customFormat="1">
      <c r="D1716" s="115"/>
    </row>
    <row r="1717" spans="4:4" s="19" customFormat="1">
      <c r="D1717" s="115"/>
    </row>
    <row r="1718" spans="4:4" s="19" customFormat="1">
      <c r="D1718" s="115"/>
    </row>
    <row r="1719" spans="4:4" s="19" customFormat="1">
      <c r="D1719" s="115"/>
    </row>
    <row r="1720" spans="4:4" s="19" customFormat="1">
      <c r="D1720" s="115"/>
    </row>
    <row r="1721" spans="4:4" s="19" customFormat="1">
      <c r="D1721" s="115"/>
    </row>
    <row r="1722" spans="4:4" s="19" customFormat="1">
      <c r="D1722" s="115"/>
    </row>
    <row r="1723" spans="4:4" s="19" customFormat="1">
      <c r="D1723" s="115"/>
    </row>
    <row r="1724" spans="4:4" s="19" customFormat="1">
      <c r="D1724" s="115"/>
    </row>
    <row r="1725" spans="4:4" s="19" customFormat="1">
      <c r="D1725" s="115"/>
    </row>
    <row r="1726" spans="4:4" s="19" customFormat="1">
      <c r="D1726" s="115"/>
    </row>
    <row r="1727" spans="4:4" s="19" customFormat="1">
      <c r="D1727" s="115"/>
    </row>
    <row r="1728" spans="4:4" s="19" customFormat="1">
      <c r="D1728" s="115"/>
    </row>
    <row r="1729" spans="4:4" s="19" customFormat="1">
      <c r="D1729" s="115"/>
    </row>
    <row r="1730" spans="4:4" s="19" customFormat="1">
      <c r="D1730" s="115"/>
    </row>
    <row r="1731" spans="4:4" s="19" customFormat="1">
      <c r="D1731" s="115"/>
    </row>
    <row r="1732" spans="4:4" s="19" customFormat="1">
      <c r="D1732" s="115"/>
    </row>
    <row r="1733" spans="4:4" s="19" customFormat="1">
      <c r="D1733" s="115"/>
    </row>
    <row r="1734" spans="4:4" s="19" customFormat="1">
      <c r="D1734" s="115"/>
    </row>
    <row r="1735" spans="4:4" s="19" customFormat="1">
      <c r="D1735" s="115"/>
    </row>
    <row r="1736" spans="4:4" s="19" customFormat="1">
      <c r="D1736" s="115"/>
    </row>
    <row r="1737" spans="4:4" s="19" customFormat="1">
      <c r="D1737" s="115"/>
    </row>
    <row r="1738" spans="4:4" s="19" customFormat="1">
      <c r="D1738" s="115"/>
    </row>
    <row r="1739" spans="4:4" s="19" customFormat="1">
      <c r="D1739" s="115"/>
    </row>
    <row r="1740" spans="4:4" s="19" customFormat="1">
      <c r="D1740" s="115"/>
    </row>
    <row r="1741" spans="4:4" s="19" customFormat="1">
      <c r="D1741" s="115"/>
    </row>
    <row r="1742" spans="4:4" s="19" customFormat="1">
      <c r="D1742" s="115"/>
    </row>
    <row r="1743" spans="4:4" s="19" customFormat="1">
      <c r="D1743" s="115"/>
    </row>
    <row r="1744" spans="4:4" s="19" customFormat="1">
      <c r="D1744" s="115"/>
    </row>
    <row r="1745" spans="4:4" s="19" customFormat="1">
      <c r="D1745" s="115"/>
    </row>
    <row r="1746" spans="4:4" s="19" customFormat="1">
      <c r="D1746" s="115"/>
    </row>
    <row r="1747" spans="4:4" s="19" customFormat="1">
      <c r="D1747" s="115"/>
    </row>
    <row r="1748" spans="4:4" s="19" customFormat="1">
      <c r="D1748" s="115"/>
    </row>
    <row r="1749" spans="4:4" s="19" customFormat="1">
      <c r="D1749" s="115"/>
    </row>
    <row r="1750" spans="4:4" s="19" customFormat="1">
      <c r="D1750" s="115"/>
    </row>
    <row r="1751" spans="4:4" s="19" customFormat="1">
      <c r="D1751" s="115"/>
    </row>
    <row r="1752" spans="4:4" s="19" customFormat="1">
      <c r="D1752" s="115"/>
    </row>
    <row r="1753" spans="4:4" s="19" customFormat="1">
      <c r="D1753" s="115"/>
    </row>
    <row r="1754" spans="4:4" s="19" customFormat="1">
      <c r="D1754" s="115"/>
    </row>
    <row r="1755" spans="4:4" s="19" customFormat="1">
      <c r="D1755" s="115"/>
    </row>
    <row r="1756" spans="4:4" s="19" customFormat="1">
      <c r="D1756" s="115"/>
    </row>
    <row r="1757" spans="4:4" s="19" customFormat="1">
      <c r="D1757" s="115"/>
    </row>
    <row r="1758" spans="4:4" s="19" customFormat="1">
      <c r="D1758" s="115"/>
    </row>
    <row r="1759" spans="4:4" s="19" customFormat="1">
      <c r="D1759" s="115"/>
    </row>
    <row r="1760" spans="4:4" s="19" customFormat="1">
      <c r="D1760" s="115"/>
    </row>
    <row r="1761" spans="4:4" s="19" customFormat="1">
      <c r="D1761" s="115"/>
    </row>
    <row r="1762" spans="4:4" s="19" customFormat="1">
      <c r="D1762" s="115"/>
    </row>
    <row r="1763" spans="4:4" s="19" customFormat="1">
      <c r="D1763" s="115"/>
    </row>
    <row r="1764" spans="4:4" s="19" customFormat="1">
      <c r="D1764" s="115"/>
    </row>
    <row r="1765" spans="4:4" s="19" customFormat="1">
      <c r="D1765" s="115"/>
    </row>
    <row r="1766" spans="4:4" s="19" customFormat="1">
      <c r="D1766" s="115"/>
    </row>
    <row r="1767" spans="4:4" s="19" customFormat="1">
      <c r="D1767" s="115"/>
    </row>
    <row r="1768" spans="4:4" s="19" customFormat="1">
      <c r="D1768" s="115"/>
    </row>
    <row r="1769" spans="4:4" s="19" customFormat="1">
      <c r="D1769" s="115"/>
    </row>
    <row r="1770" spans="4:4" s="19" customFormat="1">
      <c r="D1770" s="115"/>
    </row>
    <row r="1771" spans="4:4" s="19" customFormat="1">
      <c r="D1771" s="115"/>
    </row>
    <row r="1772" spans="4:4" s="19" customFormat="1">
      <c r="D1772" s="115"/>
    </row>
    <row r="1773" spans="4:4" s="19" customFormat="1">
      <c r="D1773" s="115"/>
    </row>
    <row r="1774" spans="4:4" s="19" customFormat="1">
      <c r="D1774" s="115"/>
    </row>
    <row r="1775" spans="4:4" s="19" customFormat="1">
      <c r="D1775" s="115"/>
    </row>
    <row r="1776" spans="4:4" s="19" customFormat="1">
      <c r="D1776" s="115"/>
    </row>
    <row r="1777" spans="4:4" s="19" customFormat="1">
      <c r="D1777" s="115"/>
    </row>
    <row r="1778" spans="4:4" s="19" customFormat="1">
      <c r="D1778" s="115"/>
    </row>
    <row r="1779" spans="4:4" s="19" customFormat="1">
      <c r="D1779" s="115"/>
    </row>
    <row r="1780" spans="4:4" s="19" customFormat="1">
      <c r="D1780" s="115"/>
    </row>
    <row r="1781" spans="4:4" s="19" customFormat="1">
      <c r="D1781" s="115"/>
    </row>
    <row r="1782" spans="4:4" s="19" customFormat="1">
      <c r="D1782" s="115"/>
    </row>
    <row r="1783" spans="4:4" s="19" customFormat="1">
      <c r="D1783" s="115"/>
    </row>
    <row r="1784" spans="4:4" s="19" customFormat="1">
      <c r="D1784" s="115"/>
    </row>
    <row r="1785" spans="4:4" s="19" customFormat="1">
      <c r="D1785" s="115"/>
    </row>
    <row r="1786" spans="4:4" s="19" customFormat="1">
      <c r="D1786" s="115"/>
    </row>
    <row r="1787" spans="4:4" s="19" customFormat="1">
      <c r="D1787" s="115"/>
    </row>
    <row r="1788" spans="4:4" s="19" customFormat="1">
      <c r="D1788" s="115"/>
    </row>
    <row r="1789" spans="4:4" s="19" customFormat="1">
      <c r="D1789" s="115"/>
    </row>
    <row r="1790" spans="4:4" s="19" customFormat="1">
      <c r="D1790" s="115"/>
    </row>
    <row r="1791" spans="4:4" s="19" customFormat="1">
      <c r="D1791" s="115"/>
    </row>
    <row r="1792" spans="4:4" s="19" customFormat="1">
      <c r="D1792" s="115"/>
    </row>
    <row r="1793" spans="4:4" s="19" customFormat="1">
      <c r="D1793" s="115"/>
    </row>
    <row r="1794" spans="4:4" s="19" customFormat="1">
      <c r="D1794" s="115"/>
    </row>
    <row r="1795" spans="4:4" s="19" customFormat="1">
      <c r="D1795" s="115"/>
    </row>
    <row r="1796" spans="4:4" s="19" customFormat="1">
      <c r="D1796" s="115"/>
    </row>
    <row r="1797" spans="4:4" s="19" customFormat="1">
      <c r="D1797" s="115"/>
    </row>
    <row r="1798" spans="4:4" s="19" customFormat="1">
      <c r="D1798" s="115"/>
    </row>
    <row r="1799" spans="4:4" s="19" customFormat="1">
      <c r="D1799" s="115"/>
    </row>
    <row r="1800" spans="4:4" s="19" customFormat="1">
      <c r="D1800" s="115"/>
    </row>
    <row r="1801" spans="4:4" s="19" customFormat="1">
      <c r="D1801" s="115"/>
    </row>
    <row r="1802" spans="4:4" s="19" customFormat="1">
      <c r="D1802" s="115"/>
    </row>
    <row r="1803" spans="4:4" s="19" customFormat="1">
      <c r="D1803" s="115"/>
    </row>
    <row r="1804" spans="4:4" s="19" customFormat="1">
      <c r="D1804" s="115"/>
    </row>
    <row r="1805" spans="4:4" s="19" customFormat="1">
      <c r="D1805" s="115"/>
    </row>
    <row r="1806" spans="4:4" s="19" customFormat="1">
      <c r="D1806" s="115"/>
    </row>
    <row r="1807" spans="4:4" s="19" customFormat="1">
      <c r="D1807" s="115"/>
    </row>
    <row r="1808" spans="4:4" s="19" customFormat="1">
      <c r="D1808" s="115"/>
    </row>
    <row r="1809" spans="4:4" s="19" customFormat="1">
      <c r="D1809" s="115"/>
    </row>
    <row r="1810" spans="4:4" s="19" customFormat="1">
      <c r="D1810" s="115"/>
    </row>
    <row r="1811" spans="4:4" s="19" customFormat="1">
      <c r="D1811" s="115"/>
    </row>
    <row r="1812" spans="4:4" s="19" customFormat="1">
      <c r="D1812" s="115"/>
    </row>
    <row r="1813" spans="4:4" s="19" customFormat="1">
      <c r="D1813" s="115"/>
    </row>
    <row r="1814" spans="4:4" s="19" customFormat="1">
      <c r="D1814" s="115"/>
    </row>
    <row r="1815" spans="4:4" s="19" customFormat="1">
      <c r="D1815" s="115"/>
    </row>
    <row r="1816" spans="4:4" s="19" customFormat="1">
      <c r="D1816" s="115"/>
    </row>
    <row r="1817" spans="4:4" s="19" customFormat="1">
      <c r="D1817" s="115"/>
    </row>
    <row r="1818" spans="4:4" s="19" customFormat="1">
      <c r="D1818" s="115"/>
    </row>
    <row r="1819" spans="4:4" s="19" customFormat="1">
      <c r="D1819" s="115"/>
    </row>
    <row r="1820" spans="4:4" s="19" customFormat="1">
      <c r="D1820" s="115"/>
    </row>
    <row r="1821" spans="4:4" s="19" customFormat="1">
      <c r="D1821" s="115"/>
    </row>
    <row r="1822" spans="4:4" s="19" customFormat="1">
      <c r="D1822" s="115"/>
    </row>
    <row r="1823" spans="4:4" s="19" customFormat="1">
      <c r="D1823" s="115"/>
    </row>
    <row r="1824" spans="4:4" s="19" customFormat="1">
      <c r="D1824" s="115"/>
    </row>
    <row r="1825" spans="4:4" s="19" customFormat="1">
      <c r="D1825" s="115"/>
    </row>
    <row r="1826" spans="4:4" s="19" customFormat="1">
      <c r="D1826" s="115"/>
    </row>
    <row r="1827" spans="4:4" s="19" customFormat="1">
      <c r="D1827" s="115"/>
    </row>
    <row r="1828" spans="4:4" s="19" customFormat="1">
      <c r="D1828" s="115"/>
    </row>
    <row r="1829" spans="4:4" s="19" customFormat="1">
      <c r="D1829" s="115"/>
    </row>
    <row r="1830" spans="4:4" s="19" customFormat="1">
      <c r="D1830" s="115"/>
    </row>
    <row r="1831" spans="4:4" s="19" customFormat="1">
      <c r="D1831" s="115"/>
    </row>
    <row r="1832" spans="4:4" s="19" customFormat="1">
      <c r="D1832" s="115"/>
    </row>
    <row r="1833" spans="4:4" s="19" customFormat="1">
      <c r="D1833" s="115"/>
    </row>
    <row r="1834" spans="4:4" s="19" customFormat="1">
      <c r="D1834" s="115"/>
    </row>
    <row r="1835" spans="4:4" s="19" customFormat="1">
      <c r="D1835" s="115"/>
    </row>
    <row r="1836" spans="4:4" s="19" customFormat="1">
      <c r="D1836" s="115"/>
    </row>
    <row r="1837" spans="4:4" s="19" customFormat="1">
      <c r="D1837" s="115"/>
    </row>
    <row r="1838" spans="4:4" s="19" customFormat="1">
      <c r="D1838" s="115"/>
    </row>
    <row r="1839" spans="4:4" s="19" customFormat="1">
      <c r="D1839" s="115"/>
    </row>
    <row r="1840" spans="4:4" s="19" customFormat="1">
      <c r="D1840" s="115"/>
    </row>
    <row r="1841" spans="4:4" s="19" customFormat="1">
      <c r="D1841" s="115"/>
    </row>
    <row r="1842" spans="4:4" s="19" customFormat="1">
      <c r="D1842" s="115"/>
    </row>
    <row r="1843" spans="4:4" s="19" customFormat="1">
      <c r="D1843" s="115"/>
    </row>
    <row r="1844" spans="4:4" s="19" customFormat="1">
      <c r="D1844" s="115"/>
    </row>
    <row r="1845" spans="4:4" s="19" customFormat="1">
      <c r="D1845" s="115"/>
    </row>
    <row r="1846" spans="4:4" s="19" customFormat="1">
      <c r="D1846" s="115"/>
    </row>
    <row r="1847" spans="4:4" s="19" customFormat="1">
      <c r="D1847" s="115"/>
    </row>
    <row r="1848" spans="4:4" s="19" customFormat="1">
      <c r="D1848" s="115"/>
    </row>
    <row r="1849" spans="4:4" s="19" customFormat="1">
      <c r="D1849" s="115"/>
    </row>
    <row r="1850" spans="4:4" s="19" customFormat="1">
      <c r="D1850" s="115"/>
    </row>
    <row r="1851" spans="4:4" s="19" customFormat="1">
      <c r="D1851" s="115"/>
    </row>
    <row r="1852" spans="4:4" s="19" customFormat="1">
      <c r="D1852" s="115"/>
    </row>
    <row r="1853" spans="4:4" s="19" customFormat="1">
      <c r="D1853" s="115"/>
    </row>
    <row r="1854" spans="4:4" s="19" customFormat="1">
      <c r="D1854" s="115"/>
    </row>
    <row r="1855" spans="4:4" s="19" customFormat="1">
      <c r="D1855" s="115"/>
    </row>
    <row r="1856" spans="4:4" s="19" customFormat="1">
      <c r="D1856" s="115"/>
    </row>
    <row r="1857" spans="4:4" s="19" customFormat="1">
      <c r="D1857" s="115"/>
    </row>
    <row r="1858" spans="4:4" s="19" customFormat="1">
      <c r="D1858" s="115"/>
    </row>
    <row r="1859" spans="4:4" s="19" customFormat="1">
      <c r="D1859" s="115"/>
    </row>
    <row r="1860" spans="4:4" s="19" customFormat="1">
      <c r="D1860" s="115"/>
    </row>
    <row r="1861" spans="4:4" s="19" customFormat="1">
      <c r="D1861" s="115"/>
    </row>
    <row r="1862" spans="4:4" s="19" customFormat="1">
      <c r="D1862" s="115"/>
    </row>
    <row r="1863" spans="4:4" s="19" customFormat="1">
      <c r="D1863" s="115"/>
    </row>
    <row r="1864" spans="4:4" s="19" customFormat="1">
      <c r="D1864" s="115"/>
    </row>
    <row r="1865" spans="4:4" s="19" customFormat="1">
      <c r="D1865" s="115"/>
    </row>
    <row r="1866" spans="4:4" s="19" customFormat="1">
      <c r="D1866" s="115"/>
    </row>
    <row r="1867" spans="4:4" s="19" customFormat="1">
      <c r="D1867" s="115"/>
    </row>
    <row r="1868" spans="4:4" s="19" customFormat="1">
      <c r="D1868" s="115"/>
    </row>
    <row r="1869" spans="4:4" s="19" customFormat="1">
      <c r="D1869" s="115"/>
    </row>
    <row r="1870" spans="4:4" s="19" customFormat="1">
      <c r="D1870" s="115"/>
    </row>
    <row r="1871" spans="4:4" s="19" customFormat="1">
      <c r="D1871" s="115"/>
    </row>
    <row r="1872" spans="4:4" s="19" customFormat="1">
      <c r="D1872" s="115"/>
    </row>
    <row r="1873" spans="4:4" s="19" customFormat="1">
      <c r="D1873" s="115"/>
    </row>
    <row r="1874" spans="4:4" s="19" customFormat="1">
      <c r="D1874" s="115"/>
    </row>
    <row r="1875" spans="4:4" s="19" customFormat="1">
      <c r="D1875" s="115"/>
    </row>
    <row r="1876" spans="4:4" s="19" customFormat="1">
      <c r="D1876" s="115"/>
    </row>
    <row r="1877" spans="4:4" s="19" customFormat="1">
      <c r="D1877" s="115"/>
    </row>
    <row r="1878" spans="4:4" s="19" customFormat="1">
      <c r="D1878" s="115"/>
    </row>
    <row r="1879" spans="4:4" s="19" customFormat="1">
      <c r="D1879" s="115"/>
    </row>
    <row r="1880" spans="4:4" s="19" customFormat="1">
      <c r="D1880" s="115"/>
    </row>
    <row r="1881" spans="4:4" s="19" customFormat="1">
      <c r="D1881" s="115"/>
    </row>
    <row r="1882" spans="4:4" s="19" customFormat="1">
      <c r="D1882" s="115"/>
    </row>
    <row r="1883" spans="4:4" s="19" customFormat="1">
      <c r="D1883" s="115"/>
    </row>
    <row r="1884" spans="4:4" s="19" customFormat="1">
      <c r="D1884" s="115"/>
    </row>
    <row r="1885" spans="4:4" s="19" customFormat="1">
      <c r="D1885" s="115"/>
    </row>
    <row r="1886" spans="4:4" s="19" customFormat="1">
      <c r="D1886" s="115"/>
    </row>
    <row r="1887" spans="4:4" s="19" customFormat="1">
      <c r="D1887" s="115"/>
    </row>
    <row r="1888" spans="4:4" s="19" customFormat="1">
      <c r="D1888" s="115"/>
    </row>
    <row r="1889" spans="4:4" s="19" customFormat="1">
      <c r="D1889" s="115"/>
    </row>
    <row r="1890" spans="4:4" s="19" customFormat="1">
      <c r="D1890" s="115"/>
    </row>
    <row r="1891" spans="4:4" s="19" customFormat="1">
      <c r="D1891" s="115"/>
    </row>
    <row r="1892" spans="4:4" s="19" customFormat="1">
      <c r="D1892" s="115"/>
    </row>
    <row r="1893" spans="4:4" s="19" customFormat="1">
      <c r="D1893" s="115"/>
    </row>
    <row r="1894" spans="4:4" s="19" customFormat="1">
      <c r="D1894" s="115"/>
    </row>
    <row r="1895" spans="4:4" s="19" customFormat="1">
      <c r="D1895" s="115"/>
    </row>
    <row r="1896" spans="4:4" s="19" customFormat="1">
      <c r="D1896" s="115"/>
    </row>
    <row r="1897" spans="4:4" s="19" customFormat="1">
      <c r="D1897" s="115"/>
    </row>
    <row r="1898" spans="4:4" s="19" customFormat="1">
      <c r="D1898" s="115"/>
    </row>
    <row r="1899" spans="4:4" s="19" customFormat="1">
      <c r="D1899" s="115"/>
    </row>
    <row r="1900" spans="4:4" s="19" customFormat="1">
      <c r="D1900" s="115"/>
    </row>
    <row r="1901" spans="4:4" s="19" customFormat="1">
      <c r="D1901" s="115"/>
    </row>
    <row r="1902" spans="4:4" s="19" customFormat="1">
      <c r="D1902" s="115"/>
    </row>
    <row r="1903" spans="4:4" s="19" customFormat="1">
      <c r="D1903" s="115"/>
    </row>
    <row r="1904" spans="4:4" s="19" customFormat="1">
      <c r="D1904" s="115"/>
    </row>
    <row r="1905" spans="4:4" s="19" customFormat="1">
      <c r="D1905" s="115"/>
    </row>
    <row r="1906" spans="4:4" s="19" customFormat="1">
      <c r="D1906" s="115"/>
    </row>
    <row r="1907" spans="4:4" s="19" customFormat="1">
      <c r="D1907" s="115"/>
    </row>
    <row r="1908" spans="4:4" s="19" customFormat="1">
      <c r="D1908" s="115"/>
    </row>
    <row r="1909" spans="4:4" s="19" customFormat="1">
      <c r="D1909" s="115"/>
    </row>
    <row r="1910" spans="4:4" s="19" customFormat="1">
      <c r="D1910" s="115"/>
    </row>
    <row r="1911" spans="4:4" s="19" customFormat="1">
      <c r="D1911" s="115"/>
    </row>
    <row r="1912" spans="4:4" s="19" customFormat="1">
      <c r="D1912" s="115"/>
    </row>
    <row r="1913" spans="4:4" s="19" customFormat="1">
      <c r="D1913" s="115"/>
    </row>
    <row r="1914" spans="4:4" s="19" customFormat="1">
      <c r="D1914" s="115"/>
    </row>
    <row r="1915" spans="4:4" s="19" customFormat="1">
      <c r="D1915" s="115"/>
    </row>
    <row r="1916" spans="4:4" s="19" customFormat="1">
      <c r="D1916" s="115"/>
    </row>
    <row r="1917" spans="4:4" s="19" customFormat="1">
      <c r="D1917" s="115"/>
    </row>
    <row r="1918" spans="4:4" s="19" customFormat="1">
      <c r="D1918" s="115"/>
    </row>
    <row r="1919" spans="4:4" s="19" customFormat="1">
      <c r="D1919" s="115"/>
    </row>
    <row r="1920" spans="4:4" s="19" customFormat="1">
      <c r="D1920" s="115"/>
    </row>
    <row r="1921" spans="4:4" s="19" customFormat="1">
      <c r="D1921" s="115"/>
    </row>
    <row r="1922" spans="4:4" s="19" customFormat="1">
      <c r="D1922" s="115"/>
    </row>
    <row r="1923" spans="4:4" s="19" customFormat="1">
      <c r="D1923" s="115"/>
    </row>
    <row r="1924" spans="4:4" s="19" customFormat="1">
      <c r="D1924" s="115"/>
    </row>
    <row r="1925" spans="4:4" s="19" customFormat="1">
      <c r="D1925" s="115"/>
    </row>
    <row r="1926" spans="4:4" s="19" customFormat="1">
      <c r="D1926" s="115"/>
    </row>
    <row r="1927" spans="4:4" s="19" customFormat="1">
      <c r="D1927" s="115"/>
    </row>
    <row r="1928" spans="4:4" s="19" customFormat="1">
      <c r="D1928" s="115"/>
    </row>
    <row r="1929" spans="4:4" s="19" customFormat="1">
      <c r="D1929" s="115"/>
    </row>
    <row r="1930" spans="4:4" s="19" customFormat="1">
      <c r="D1930" s="115"/>
    </row>
    <row r="1931" spans="4:4" s="19" customFormat="1">
      <c r="D1931" s="115"/>
    </row>
    <row r="1932" spans="4:4" s="19" customFormat="1">
      <c r="D1932" s="115"/>
    </row>
    <row r="1933" spans="4:4" s="19" customFormat="1">
      <c r="D1933" s="115"/>
    </row>
    <row r="1934" spans="4:4" s="19" customFormat="1">
      <c r="D1934" s="115"/>
    </row>
    <row r="1935" spans="4:4" s="19" customFormat="1">
      <c r="D1935" s="115"/>
    </row>
    <row r="1936" spans="4:4" s="19" customFormat="1">
      <c r="D1936" s="115"/>
    </row>
    <row r="1937" spans="4:4" s="19" customFormat="1">
      <c r="D1937" s="115"/>
    </row>
    <row r="1938" spans="4:4" s="19" customFormat="1">
      <c r="D1938" s="115"/>
    </row>
    <row r="1939" spans="4:4" s="19" customFormat="1">
      <c r="D1939" s="115"/>
    </row>
    <row r="1940" spans="4:4" s="19" customFormat="1">
      <c r="D1940" s="115"/>
    </row>
    <row r="1941" spans="4:4" s="19" customFormat="1">
      <c r="D1941" s="115"/>
    </row>
    <row r="1942" spans="4:4" s="19" customFormat="1">
      <c r="D1942" s="115"/>
    </row>
    <row r="1943" spans="4:4" s="19" customFormat="1">
      <c r="D1943" s="115"/>
    </row>
    <row r="1944" spans="4:4" s="19" customFormat="1">
      <c r="D1944" s="115"/>
    </row>
    <row r="1945" spans="4:4" s="19" customFormat="1">
      <c r="D1945" s="115"/>
    </row>
    <row r="1946" spans="4:4" s="19" customFormat="1">
      <c r="D1946" s="115"/>
    </row>
    <row r="1947" spans="4:4" s="19" customFormat="1">
      <c r="D1947" s="115"/>
    </row>
    <row r="1948" spans="4:4" s="19" customFormat="1">
      <c r="D1948" s="115"/>
    </row>
    <row r="1949" spans="4:4" s="19" customFormat="1">
      <c r="D1949" s="115"/>
    </row>
    <row r="1950" spans="4:4" s="19" customFormat="1">
      <c r="D1950" s="115"/>
    </row>
    <row r="1951" spans="4:4" s="19" customFormat="1">
      <c r="D1951" s="115"/>
    </row>
    <row r="1952" spans="4:4" s="19" customFormat="1">
      <c r="D1952" s="115"/>
    </row>
    <row r="1953" spans="4:4" s="19" customFormat="1">
      <c r="D1953" s="115"/>
    </row>
    <row r="1954" spans="4:4" s="19" customFormat="1">
      <c r="D1954" s="115"/>
    </row>
    <row r="1955" spans="4:4" s="19" customFormat="1">
      <c r="D1955" s="115"/>
    </row>
    <row r="1956" spans="4:4" s="19" customFormat="1">
      <c r="D1956" s="115"/>
    </row>
    <row r="1957" spans="4:4" s="19" customFormat="1">
      <c r="D1957" s="115"/>
    </row>
    <row r="1958" spans="4:4" s="19" customFormat="1">
      <c r="D1958" s="115"/>
    </row>
    <row r="1959" spans="4:4" s="19" customFormat="1">
      <c r="D1959" s="115"/>
    </row>
    <row r="1960" spans="4:4" s="19" customFormat="1">
      <c r="D1960" s="115"/>
    </row>
    <row r="1961" spans="4:4" s="19" customFormat="1">
      <c r="D1961" s="115"/>
    </row>
    <row r="1962" spans="4:4" s="19" customFormat="1">
      <c r="D1962" s="115"/>
    </row>
    <row r="1963" spans="4:4" s="19" customFormat="1">
      <c r="D1963" s="115"/>
    </row>
    <row r="1964" spans="4:4" s="19" customFormat="1">
      <c r="D1964" s="115"/>
    </row>
    <row r="1965" spans="4:4" s="19" customFormat="1">
      <c r="D1965" s="115"/>
    </row>
    <row r="1966" spans="4:4" s="19" customFormat="1">
      <c r="D1966" s="115"/>
    </row>
    <row r="1967" spans="4:4" s="19" customFormat="1">
      <c r="D1967" s="115"/>
    </row>
    <row r="1968" spans="4:4" s="19" customFormat="1">
      <c r="D1968" s="115"/>
    </row>
    <row r="1969" spans="4:4" s="19" customFormat="1">
      <c r="D1969" s="115"/>
    </row>
    <row r="1970" spans="4:4" s="19" customFormat="1">
      <c r="D1970" s="115"/>
    </row>
    <row r="1971" spans="4:4" s="19" customFormat="1">
      <c r="D1971" s="115"/>
    </row>
    <row r="1972" spans="4:4" s="19" customFormat="1">
      <c r="D1972" s="115"/>
    </row>
    <row r="1973" spans="4:4" s="19" customFormat="1">
      <c r="D1973" s="115"/>
    </row>
    <row r="1974" spans="4:4" s="19" customFormat="1">
      <c r="D1974" s="115"/>
    </row>
    <row r="1975" spans="4:4" s="19" customFormat="1">
      <c r="D1975" s="115"/>
    </row>
    <row r="1976" spans="4:4" s="19" customFormat="1">
      <c r="D1976" s="115"/>
    </row>
    <row r="1977" spans="4:4" s="19" customFormat="1">
      <c r="D1977" s="115"/>
    </row>
    <row r="1978" spans="4:4" s="19" customFormat="1">
      <c r="D1978" s="115"/>
    </row>
    <row r="1979" spans="4:4" s="19" customFormat="1">
      <c r="D1979" s="115"/>
    </row>
    <row r="1980" spans="4:4" s="19" customFormat="1">
      <c r="D1980" s="115"/>
    </row>
    <row r="1981" spans="4:4" s="19" customFormat="1">
      <c r="D1981" s="115"/>
    </row>
    <row r="1982" spans="4:4" s="19" customFormat="1">
      <c r="D1982" s="115"/>
    </row>
    <row r="1983" spans="4:4" s="19" customFormat="1">
      <c r="D1983" s="115"/>
    </row>
    <row r="1984" spans="4:4" s="19" customFormat="1">
      <c r="D1984" s="115"/>
    </row>
    <row r="1985" spans="4:4" s="19" customFormat="1">
      <c r="D1985" s="115"/>
    </row>
    <row r="1986" spans="4:4" s="19" customFormat="1">
      <c r="D1986" s="115"/>
    </row>
    <row r="1987" spans="4:4" s="19" customFormat="1">
      <c r="D1987" s="115"/>
    </row>
    <row r="1988" spans="4:4" s="19" customFormat="1">
      <c r="D1988" s="115"/>
    </row>
    <row r="1989" spans="4:4" s="19" customFormat="1">
      <c r="D1989" s="115"/>
    </row>
    <row r="1990" spans="4:4" s="19" customFormat="1">
      <c r="D1990" s="115"/>
    </row>
    <row r="1991" spans="4:4" s="19" customFormat="1">
      <c r="D1991" s="115"/>
    </row>
    <row r="1992" spans="4:4" s="19" customFormat="1">
      <c r="D1992" s="115"/>
    </row>
    <row r="1993" spans="4:4" s="19" customFormat="1">
      <c r="D1993" s="115"/>
    </row>
    <row r="1994" spans="4:4" s="19" customFormat="1">
      <c r="D1994" s="115"/>
    </row>
    <row r="1995" spans="4:4" s="19" customFormat="1">
      <c r="D1995" s="115"/>
    </row>
    <row r="1996" spans="4:4" s="19" customFormat="1">
      <c r="D1996" s="115"/>
    </row>
    <row r="1997" spans="4:4" s="19" customFormat="1">
      <c r="D1997" s="115"/>
    </row>
    <row r="1998" spans="4:4" s="19" customFormat="1">
      <c r="D1998" s="115"/>
    </row>
    <row r="1999" spans="4:4" s="19" customFormat="1">
      <c r="D1999" s="115"/>
    </row>
    <row r="2000" spans="4:4" s="19" customFormat="1">
      <c r="D2000" s="115"/>
    </row>
    <row r="2001" spans="4:4" s="19" customFormat="1">
      <c r="D2001" s="115"/>
    </row>
    <row r="2002" spans="4:4" s="19" customFormat="1">
      <c r="D2002" s="115"/>
    </row>
    <row r="2003" spans="4:4" s="19" customFormat="1">
      <c r="D2003" s="115"/>
    </row>
    <row r="2004" spans="4:4" s="19" customFormat="1">
      <c r="D2004" s="115"/>
    </row>
    <row r="2005" spans="4:4" s="19" customFormat="1">
      <c r="D2005" s="115"/>
    </row>
    <row r="2006" spans="4:4" s="19" customFormat="1">
      <c r="D2006" s="115"/>
    </row>
    <row r="2007" spans="4:4" s="19" customFormat="1">
      <c r="D2007" s="115"/>
    </row>
    <row r="2008" spans="4:4" s="19" customFormat="1">
      <c r="D2008" s="115"/>
    </row>
    <row r="2009" spans="4:4" s="19" customFormat="1">
      <c r="D2009" s="115"/>
    </row>
    <row r="2010" spans="4:4" s="19" customFormat="1">
      <c r="D2010" s="115"/>
    </row>
    <row r="2011" spans="4:4" s="19" customFormat="1">
      <c r="D2011" s="115"/>
    </row>
    <row r="2012" spans="4:4" s="19" customFormat="1">
      <c r="D2012" s="115"/>
    </row>
    <row r="2013" spans="4:4" s="19" customFormat="1">
      <c r="D2013" s="115"/>
    </row>
    <row r="2014" spans="4:4" s="19" customFormat="1">
      <c r="D2014" s="115"/>
    </row>
    <row r="2015" spans="4:4" s="19" customFormat="1">
      <c r="D2015" s="115"/>
    </row>
    <row r="2016" spans="4:4" s="19" customFormat="1">
      <c r="D2016" s="115"/>
    </row>
    <row r="2017" spans="4:4" s="19" customFormat="1">
      <c r="D2017" s="115"/>
    </row>
    <row r="2018" spans="4:4" s="19" customFormat="1">
      <c r="D2018" s="115"/>
    </row>
    <row r="2019" spans="4:4" s="19" customFormat="1">
      <c r="D2019" s="115"/>
    </row>
    <row r="2020" spans="4:4" s="19" customFormat="1">
      <c r="D2020" s="115"/>
    </row>
    <row r="2021" spans="4:4" s="19" customFormat="1">
      <c r="D2021" s="115"/>
    </row>
    <row r="2022" spans="4:4" s="19" customFormat="1">
      <c r="D2022" s="115"/>
    </row>
    <row r="2023" spans="4:4" s="19" customFormat="1">
      <c r="D2023" s="115"/>
    </row>
    <row r="2024" spans="4:4" s="19" customFormat="1">
      <c r="D2024" s="115"/>
    </row>
    <row r="2025" spans="4:4" s="19" customFormat="1">
      <c r="D2025" s="115"/>
    </row>
    <row r="2026" spans="4:4" s="19" customFormat="1">
      <c r="D2026" s="115"/>
    </row>
    <row r="2027" spans="4:4" s="19" customFormat="1">
      <c r="D2027" s="115"/>
    </row>
    <row r="2028" spans="4:4" s="19" customFormat="1">
      <c r="D2028" s="115"/>
    </row>
    <row r="2029" spans="4:4" s="19" customFormat="1">
      <c r="D2029" s="115"/>
    </row>
    <row r="2030" spans="4:4" s="19" customFormat="1">
      <c r="D2030" s="115"/>
    </row>
    <row r="2031" spans="4:4" s="19" customFormat="1">
      <c r="D2031" s="115"/>
    </row>
    <row r="2032" spans="4:4" s="19" customFormat="1">
      <c r="D2032" s="115"/>
    </row>
    <row r="2033" spans="4:4" s="19" customFormat="1">
      <c r="D2033" s="115"/>
    </row>
    <row r="2034" spans="4:4" s="19" customFormat="1">
      <c r="D2034" s="115"/>
    </row>
    <row r="2035" spans="4:4" s="19" customFormat="1">
      <c r="D2035" s="115"/>
    </row>
    <row r="2036" spans="4:4" s="19" customFormat="1">
      <c r="D2036" s="115"/>
    </row>
    <row r="2037" spans="4:4" s="19" customFormat="1">
      <c r="D2037" s="115"/>
    </row>
    <row r="2038" spans="4:4" s="19" customFormat="1">
      <c r="D2038" s="115"/>
    </row>
    <row r="2039" spans="4:4" s="19" customFormat="1">
      <c r="D2039" s="115"/>
    </row>
    <row r="2040" spans="4:4" s="19" customFormat="1">
      <c r="D2040" s="115"/>
    </row>
    <row r="2041" spans="4:4" s="19" customFormat="1">
      <c r="D2041" s="115"/>
    </row>
    <row r="2042" spans="4:4" s="19" customFormat="1">
      <c r="D2042" s="115"/>
    </row>
    <row r="2043" spans="4:4" s="19" customFormat="1">
      <c r="D2043" s="115"/>
    </row>
    <row r="2044" spans="4:4" s="19" customFormat="1">
      <c r="D2044" s="115"/>
    </row>
    <row r="2045" spans="4:4" s="19" customFormat="1">
      <c r="D2045" s="115"/>
    </row>
    <row r="2046" spans="4:4" s="19" customFormat="1">
      <c r="D2046" s="115"/>
    </row>
    <row r="2047" spans="4:4" s="19" customFormat="1">
      <c r="D2047" s="115"/>
    </row>
    <row r="2048" spans="4:4" s="19" customFormat="1">
      <c r="D2048" s="115"/>
    </row>
    <row r="2049" spans="4:4" s="19" customFormat="1">
      <c r="D2049" s="115"/>
    </row>
    <row r="2050" spans="4:4" s="19" customFormat="1">
      <c r="D2050" s="115"/>
    </row>
    <row r="2051" spans="4:4" s="19" customFormat="1">
      <c r="D2051" s="115"/>
    </row>
    <row r="2052" spans="4:4" s="19" customFormat="1">
      <c r="D2052" s="115"/>
    </row>
    <row r="2053" spans="4:4" s="19" customFormat="1">
      <c r="D2053" s="115"/>
    </row>
    <row r="2054" spans="4:4" s="19" customFormat="1">
      <c r="D2054" s="115"/>
    </row>
    <row r="2055" spans="4:4" s="19" customFormat="1">
      <c r="D2055" s="115"/>
    </row>
    <row r="2056" spans="4:4" s="19" customFormat="1">
      <c r="D2056" s="115"/>
    </row>
    <row r="2057" spans="4:4" s="19" customFormat="1">
      <c r="D2057" s="115"/>
    </row>
    <row r="2058" spans="4:4" s="19" customFormat="1">
      <c r="D2058" s="115"/>
    </row>
    <row r="2059" spans="4:4" s="19" customFormat="1">
      <c r="D2059" s="115"/>
    </row>
    <row r="2060" spans="4:4" s="19" customFormat="1">
      <c r="D2060" s="115"/>
    </row>
    <row r="2061" spans="4:4" s="19" customFormat="1">
      <c r="D2061" s="115"/>
    </row>
    <row r="2062" spans="4:4" s="19" customFormat="1">
      <c r="D2062" s="115"/>
    </row>
    <row r="2063" spans="4:4" s="19" customFormat="1">
      <c r="D2063" s="115"/>
    </row>
    <row r="2064" spans="4:4" s="19" customFormat="1">
      <c r="D2064" s="115"/>
    </row>
    <row r="2065" spans="4:4" s="19" customFormat="1">
      <c r="D2065" s="115"/>
    </row>
    <row r="2066" spans="4:4" s="19" customFormat="1">
      <c r="D2066" s="115"/>
    </row>
    <row r="2067" spans="4:4" s="19" customFormat="1">
      <c r="D2067" s="115"/>
    </row>
    <row r="2068" spans="4:4" s="19" customFormat="1">
      <c r="D2068" s="115"/>
    </row>
    <row r="2069" spans="4:4" s="19" customFormat="1">
      <c r="D2069" s="115"/>
    </row>
    <row r="2070" spans="4:4" s="19" customFormat="1">
      <c r="D2070" s="115"/>
    </row>
    <row r="2071" spans="4:4" s="19" customFormat="1">
      <c r="D2071" s="115"/>
    </row>
    <row r="2072" spans="4:4" s="19" customFormat="1">
      <c r="D2072" s="115"/>
    </row>
    <row r="2073" spans="4:4" s="19" customFormat="1">
      <c r="D2073" s="115"/>
    </row>
    <row r="2074" spans="4:4" s="19" customFormat="1">
      <c r="D2074" s="115"/>
    </row>
    <row r="2075" spans="4:4" s="19" customFormat="1">
      <c r="D2075" s="115"/>
    </row>
    <row r="2076" spans="4:4" s="19" customFormat="1">
      <c r="D2076" s="115"/>
    </row>
    <row r="2077" spans="4:4" s="19" customFormat="1">
      <c r="D2077" s="115"/>
    </row>
    <row r="2078" spans="4:4" s="19" customFormat="1">
      <c r="D2078" s="115"/>
    </row>
    <row r="2079" spans="4:4" s="19" customFormat="1">
      <c r="D2079" s="115"/>
    </row>
    <row r="2080" spans="4:4" s="19" customFormat="1">
      <c r="D2080" s="115"/>
    </row>
    <row r="2081" spans="4:4" s="19" customFormat="1">
      <c r="D2081" s="115"/>
    </row>
    <row r="2082" spans="4:4" s="19" customFormat="1">
      <c r="D2082" s="115"/>
    </row>
    <row r="2083" spans="4:4" s="19" customFormat="1">
      <c r="D2083" s="115"/>
    </row>
    <row r="2084" spans="4:4" s="19" customFormat="1">
      <c r="D2084" s="115"/>
    </row>
    <row r="2085" spans="4:4" s="19" customFormat="1">
      <c r="D2085" s="115"/>
    </row>
    <row r="2086" spans="4:4" s="19" customFormat="1">
      <c r="D2086" s="115"/>
    </row>
    <row r="2087" spans="4:4" s="19" customFormat="1">
      <c r="D2087" s="115"/>
    </row>
    <row r="2088" spans="4:4" s="19" customFormat="1">
      <c r="D2088" s="115"/>
    </row>
    <row r="2089" spans="4:4" s="19" customFormat="1">
      <c r="D2089" s="115"/>
    </row>
    <row r="2090" spans="4:4" s="19" customFormat="1">
      <c r="D2090" s="115"/>
    </row>
    <row r="2091" spans="4:4" s="19" customFormat="1">
      <c r="D2091" s="115"/>
    </row>
    <row r="2092" spans="4:4" s="19" customFormat="1">
      <c r="D2092" s="115"/>
    </row>
    <row r="2093" spans="4:4" s="19" customFormat="1">
      <c r="D2093" s="115"/>
    </row>
    <row r="2094" spans="4:4" s="19" customFormat="1">
      <c r="D2094" s="115"/>
    </row>
    <row r="2095" spans="4:4" s="19" customFormat="1">
      <c r="D2095" s="115"/>
    </row>
    <row r="2096" spans="4:4" s="19" customFormat="1">
      <c r="D2096" s="115"/>
    </row>
    <row r="2097" spans="4:4" s="19" customFormat="1">
      <c r="D2097" s="115"/>
    </row>
    <row r="2098" spans="4:4" s="19" customFormat="1">
      <c r="D2098" s="115"/>
    </row>
    <row r="2099" spans="4:4" s="19" customFormat="1">
      <c r="D2099" s="115"/>
    </row>
    <row r="2100" spans="4:4" s="19" customFormat="1">
      <c r="D2100" s="115"/>
    </row>
    <row r="2101" spans="4:4" s="19" customFormat="1">
      <c r="D2101" s="115"/>
    </row>
    <row r="2102" spans="4:4" s="19" customFormat="1">
      <c r="D2102" s="115"/>
    </row>
    <row r="2103" spans="4:4" s="19" customFormat="1">
      <c r="D2103" s="115"/>
    </row>
    <row r="2104" spans="4:4" s="19" customFormat="1">
      <c r="D2104" s="115"/>
    </row>
    <row r="2105" spans="4:4" s="19" customFormat="1">
      <c r="D2105" s="115"/>
    </row>
    <row r="2106" spans="4:4" s="19" customFormat="1">
      <c r="D2106" s="115"/>
    </row>
    <row r="2107" spans="4:4" s="19" customFormat="1">
      <c r="D2107" s="115"/>
    </row>
    <row r="2108" spans="4:4" s="19" customFormat="1">
      <c r="D2108" s="115"/>
    </row>
    <row r="2109" spans="4:4" s="19" customFormat="1">
      <c r="D2109" s="115"/>
    </row>
    <row r="2110" spans="4:4" s="19" customFormat="1">
      <c r="D2110" s="115"/>
    </row>
    <row r="2111" spans="4:4" s="19" customFormat="1">
      <c r="D2111" s="115"/>
    </row>
    <row r="2112" spans="4:4" s="19" customFormat="1">
      <c r="D2112" s="115"/>
    </row>
    <row r="2113" spans="4:4" s="19" customFormat="1">
      <c r="D2113" s="115"/>
    </row>
    <row r="2114" spans="4:4" s="19" customFormat="1">
      <c r="D2114" s="115"/>
    </row>
    <row r="2115" spans="4:4" s="19" customFormat="1">
      <c r="D2115" s="115"/>
    </row>
    <row r="2116" spans="4:4" s="19" customFormat="1">
      <c r="D2116" s="115"/>
    </row>
    <row r="2117" spans="4:4" s="19" customFormat="1">
      <c r="D2117" s="115"/>
    </row>
    <row r="2118" spans="4:4" s="19" customFormat="1">
      <c r="D2118" s="115"/>
    </row>
    <row r="2119" spans="4:4" s="19" customFormat="1">
      <c r="D2119" s="115"/>
    </row>
    <row r="2120" spans="4:4" s="19" customFormat="1">
      <c r="D2120" s="115"/>
    </row>
    <row r="2121" spans="4:4" s="19" customFormat="1">
      <c r="D2121" s="115"/>
    </row>
    <row r="2122" spans="4:4" s="19" customFormat="1">
      <c r="D2122" s="115"/>
    </row>
    <row r="2123" spans="4:4" s="19" customFormat="1">
      <c r="D2123" s="115"/>
    </row>
    <row r="2124" spans="4:4" s="19" customFormat="1">
      <c r="D2124" s="115"/>
    </row>
    <row r="2125" spans="4:4" s="19" customFormat="1">
      <c r="D2125" s="115"/>
    </row>
    <row r="2126" spans="4:4" s="19" customFormat="1">
      <c r="D2126" s="115"/>
    </row>
    <row r="2127" spans="4:4" s="19" customFormat="1">
      <c r="D2127" s="115"/>
    </row>
    <row r="2128" spans="4:4" s="19" customFormat="1">
      <c r="D2128" s="115"/>
    </row>
    <row r="2129" spans="4:4" s="19" customFormat="1">
      <c r="D2129" s="115"/>
    </row>
    <row r="2130" spans="4:4" s="19" customFormat="1">
      <c r="D2130" s="115"/>
    </row>
    <row r="2131" spans="4:4" s="19" customFormat="1">
      <c r="D2131" s="115"/>
    </row>
    <row r="2132" spans="4:4" s="19" customFormat="1">
      <c r="D2132" s="115"/>
    </row>
    <row r="2133" spans="4:4" s="19" customFormat="1">
      <c r="D2133" s="115"/>
    </row>
    <row r="2134" spans="4:4" s="19" customFormat="1">
      <c r="D2134" s="115"/>
    </row>
    <row r="2135" spans="4:4" s="19" customFormat="1">
      <c r="D2135" s="115"/>
    </row>
    <row r="2136" spans="4:4" s="19" customFormat="1">
      <c r="D2136" s="115"/>
    </row>
    <row r="2137" spans="4:4" s="19" customFormat="1">
      <c r="D2137" s="115"/>
    </row>
    <row r="2138" spans="4:4" s="19" customFormat="1">
      <c r="D2138" s="115"/>
    </row>
    <row r="2139" spans="4:4" s="19" customFormat="1">
      <c r="D2139" s="115"/>
    </row>
    <row r="2140" spans="4:4" s="19" customFormat="1">
      <c r="D2140" s="115"/>
    </row>
    <row r="2141" spans="4:4" s="19" customFormat="1">
      <c r="D2141" s="115"/>
    </row>
    <row r="2142" spans="4:4" s="19" customFormat="1">
      <c r="D2142" s="115"/>
    </row>
    <row r="2143" spans="4:4" s="19" customFormat="1">
      <c r="D2143" s="115"/>
    </row>
    <row r="2144" spans="4:4" s="19" customFormat="1">
      <c r="D2144" s="115"/>
    </row>
    <row r="2145" spans="4:4" s="19" customFormat="1">
      <c r="D2145" s="115"/>
    </row>
    <row r="2146" spans="4:4" s="19" customFormat="1">
      <c r="D2146" s="115"/>
    </row>
    <row r="2147" spans="4:4" s="19" customFormat="1">
      <c r="D2147" s="115"/>
    </row>
    <row r="2148" spans="4:4" s="19" customFormat="1">
      <c r="D2148" s="115"/>
    </row>
    <row r="2149" spans="4:4" s="19" customFormat="1">
      <c r="D2149" s="115"/>
    </row>
    <row r="2150" spans="4:4" s="19" customFormat="1">
      <c r="D2150" s="115"/>
    </row>
    <row r="2151" spans="4:4" s="19" customFormat="1">
      <c r="D2151" s="115"/>
    </row>
    <row r="2152" spans="4:4" s="19" customFormat="1">
      <c r="D2152" s="115"/>
    </row>
    <row r="2153" spans="4:4" s="19" customFormat="1">
      <c r="D2153" s="115"/>
    </row>
    <row r="2154" spans="4:4" s="19" customFormat="1">
      <c r="D2154" s="115"/>
    </row>
    <row r="2155" spans="4:4" s="19" customFormat="1">
      <c r="D2155" s="115"/>
    </row>
    <row r="2156" spans="4:4" s="19" customFormat="1">
      <c r="D2156" s="115"/>
    </row>
    <row r="2157" spans="4:4" s="19" customFormat="1">
      <c r="D2157" s="115"/>
    </row>
    <row r="2158" spans="4:4" s="19" customFormat="1">
      <c r="D2158" s="115"/>
    </row>
    <row r="2159" spans="4:4" s="19" customFormat="1">
      <c r="D2159" s="115"/>
    </row>
    <row r="2160" spans="4:4" s="19" customFormat="1">
      <c r="D2160" s="115"/>
    </row>
    <row r="2161" spans="4:4" s="19" customFormat="1">
      <c r="D2161" s="115"/>
    </row>
    <row r="2162" spans="4:4" s="19" customFormat="1">
      <c r="D2162" s="115"/>
    </row>
    <row r="2163" spans="4:4" s="19" customFormat="1">
      <c r="D2163" s="115"/>
    </row>
    <row r="2164" spans="4:4" s="19" customFormat="1">
      <c r="D2164" s="115"/>
    </row>
    <row r="2165" spans="4:4" s="19" customFormat="1">
      <c r="D2165" s="115"/>
    </row>
    <row r="2166" spans="4:4" s="19" customFormat="1">
      <c r="D2166" s="115"/>
    </row>
    <row r="2167" spans="4:4" s="19" customFormat="1">
      <c r="D2167" s="115"/>
    </row>
    <row r="2168" spans="4:4" s="19" customFormat="1">
      <c r="D2168" s="115"/>
    </row>
    <row r="2169" spans="4:4" s="19" customFormat="1">
      <c r="D2169" s="115"/>
    </row>
    <row r="2170" spans="4:4" s="19" customFormat="1">
      <c r="D2170" s="115"/>
    </row>
    <row r="2171" spans="4:4" s="19" customFormat="1">
      <c r="D2171" s="115"/>
    </row>
    <row r="2172" spans="4:4" s="19" customFormat="1">
      <c r="D2172" s="115"/>
    </row>
    <row r="2173" spans="4:4" s="19" customFormat="1">
      <c r="D2173" s="115"/>
    </row>
    <row r="2174" spans="4:4" s="19" customFormat="1">
      <c r="D2174" s="115"/>
    </row>
    <row r="2175" spans="4:4" s="19" customFormat="1">
      <c r="D2175" s="115"/>
    </row>
    <row r="2176" spans="4:4" s="19" customFormat="1">
      <c r="D2176" s="115"/>
    </row>
    <row r="2177" spans="4:4" s="19" customFormat="1">
      <c r="D2177" s="115"/>
    </row>
    <row r="2178" spans="4:4" s="19" customFormat="1">
      <c r="D2178" s="115"/>
    </row>
    <row r="2179" spans="4:4" s="19" customFormat="1">
      <c r="D2179" s="115"/>
    </row>
    <row r="2180" spans="4:4" s="19" customFormat="1">
      <c r="D2180" s="115"/>
    </row>
    <row r="2181" spans="4:4" s="19" customFormat="1">
      <c r="D2181" s="115"/>
    </row>
    <row r="2182" spans="4:4" s="19" customFormat="1">
      <c r="D2182" s="115"/>
    </row>
    <row r="2183" spans="4:4" s="19" customFormat="1">
      <c r="D2183" s="115"/>
    </row>
    <row r="2184" spans="4:4" s="19" customFormat="1">
      <c r="D2184" s="115"/>
    </row>
    <row r="2185" spans="4:4" s="19" customFormat="1">
      <c r="D2185" s="115"/>
    </row>
    <row r="2186" spans="4:4" s="19" customFormat="1">
      <c r="D2186" s="115"/>
    </row>
    <row r="2187" spans="4:4" s="19" customFormat="1">
      <c r="D2187" s="115"/>
    </row>
    <row r="2188" spans="4:4" s="19" customFormat="1">
      <c r="D2188" s="115"/>
    </row>
    <row r="2189" spans="4:4" s="19" customFormat="1">
      <c r="D2189" s="115"/>
    </row>
    <row r="2190" spans="4:4" s="19" customFormat="1">
      <c r="D2190" s="115"/>
    </row>
    <row r="2191" spans="4:4" s="19" customFormat="1">
      <c r="D2191" s="115"/>
    </row>
    <row r="2192" spans="4:4" s="19" customFormat="1">
      <c r="D2192" s="115"/>
    </row>
    <row r="2193" spans="4:4" s="19" customFormat="1">
      <c r="D2193" s="115"/>
    </row>
    <row r="2194" spans="4:4" s="19" customFormat="1">
      <c r="D2194" s="115"/>
    </row>
    <row r="2195" spans="4:4" s="19" customFormat="1">
      <c r="D2195" s="115"/>
    </row>
    <row r="2196" spans="4:4" s="19" customFormat="1">
      <c r="D2196" s="115"/>
    </row>
    <row r="2197" spans="4:4" s="19" customFormat="1">
      <c r="D2197" s="115"/>
    </row>
    <row r="2198" spans="4:4" s="19" customFormat="1">
      <c r="D2198" s="115"/>
    </row>
    <row r="2199" spans="4:4" s="19" customFormat="1">
      <c r="D2199" s="115"/>
    </row>
    <row r="2200" spans="4:4" s="19" customFormat="1">
      <c r="D2200" s="115"/>
    </row>
    <row r="2201" spans="4:4" s="19" customFormat="1">
      <c r="D2201" s="115"/>
    </row>
    <row r="2202" spans="4:4" s="19" customFormat="1">
      <c r="D2202" s="115"/>
    </row>
    <row r="2203" spans="4:4" s="19" customFormat="1">
      <c r="D2203" s="115"/>
    </row>
    <row r="2204" spans="4:4" s="19" customFormat="1">
      <c r="D2204" s="115"/>
    </row>
    <row r="2205" spans="4:4" s="19" customFormat="1">
      <c r="D2205" s="115"/>
    </row>
    <row r="2206" spans="4:4" s="19" customFormat="1">
      <c r="D2206" s="115"/>
    </row>
    <row r="2207" spans="4:4" s="19" customFormat="1">
      <c r="D2207" s="115"/>
    </row>
    <row r="2208" spans="4:4" s="19" customFormat="1">
      <c r="D2208" s="115"/>
    </row>
    <row r="2209" spans="4:4" s="19" customFormat="1">
      <c r="D2209" s="115"/>
    </row>
    <row r="2210" spans="4:4" s="19" customFormat="1">
      <c r="D2210" s="115"/>
    </row>
    <row r="2211" spans="4:4" s="19" customFormat="1">
      <c r="D2211" s="115"/>
    </row>
    <row r="2212" spans="4:4" s="19" customFormat="1">
      <c r="D2212" s="115"/>
    </row>
    <row r="2213" spans="4:4" s="19" customFormat="1">
      <c r="D2213" s="115"/>
    </row>
    <row r="2214" spans="4:4" s="19" customFormat="1">
      <c r="D2214" s="115"/>
    </row>
    <row r="2215" spans="4:4" s="19" customFormat="1">
      <c r="D2215" s="115"/>
    </row>
    <row r="2216" spans="4:4" s="19" customFormat="1">
      <c r="D2216" s="115"/>
    </row>
    <row r="2217" spans="4:4" s="19" customFormat="1">
      <c r="D2217" s="115"/>
    </row>
    <row r="2218" spans="4:4" s="19" customFormat="1">
      <c r="D2218" s="115"/>
    </row>
    <row r="2219" spans="4:4" s="19" customFormat="1">
      <c r="D2219" s="115"/>
    </row>
    <row r="2220" spans="4:4" s="19" customFormat="1">
      <c r="D2220" s="115"/>
    </row>
    <row r="2221" spans="4:4" s="19" customFormat="1">
      <c r="D2221" s="115"/>
    </row>
    <row r="2222" spans="4:4" s="19" customFormat="1">
      <c r="D2222" s="115"/>
    </row>
    <row r="2223" spans="4:4" s="19" customFormat="1">
      <c r="D2223" s="115"/>
    </row>
    <row r="2224" spans="4:4" s="19" customFormat="1">
      <c r="D2224" s="115"/>
    </row>
    <row r="2225" spans="4:4" s="19" customFormat="1">
      <c r="D2225" s="115"/>
    </row>
    <row r="2226" spans="4:4" s="19" customFormat="1">
      <c r="D2226" s="115"/>
    </row>
    <row r="2227" spans="4:4" s="19" customFormat="1">
      <c r="D2227" s="115"/>
    </row>
    <row r="2228" spans="4:4" s="19" customFormat="1">
      <c r="D2228" s="115"/>
    </row>
    <row r="2229" spans="4:4" s="19" customFormat="1">
      <c r="D2229" s="115"/>
    </row>
    <row r="2230" spans="4:4" s="19" customFormat="1">
      <c r="D2230" s="115"/>
    </row>
    <row r="2231" spans="4:4" s="19" customFormat="1">
      <c r="D2231" s="115"/>
    </row>
    <row r="2232" spans="4:4" s="19" customFormat="1">
      <c r="D2232" s="115"/>
    </row>
    <row r="2233" spans="4:4" s="19" customFormat="1">
      <c r="D2233" s="115"/>
    </row>
    <row r="2234" spans="4:4" s="19" customFormat="1">
      <c r="D2234" s="115"/>
    </row>
    <row r="2235" spans="4:4" s="19" customFormat="1">
      <c r="D2235" s="115"/>
    </row>
    <row r="2236" spans="4:4" s="19" customFormat="1">
      <c r="D2236" s="115"/>
    </row>
    <row r="2237" spans="4:4" s="19" customFormat="1">
      <c r="D2237" s="115"/>
    </row>
    <row r="2238" spans="4:4" s="19" customFormat="1">
      <c r="D2238" s="115"/>
    </row>
    <row r="2239" spans="4:4" s="19" customFormat="1">
      <c r="D2239" s="115"/>
    </row>
    <row r="2240" spans="4:4" s="19" customFormat="1">
      <c r="D2240" s="115"/>
    </row>
    <row r="2241" spans="4:4" s="19" customFormat="1">
      <c r="D2241" s="115"/>
    </row>
    <row r="2242" spans="4:4" s="19" customFormat="1">
      <c r="D2242" s="115"/>
    </row>
    <row r="2243" spans="4:4" s="19" customFormat="1">
      <c r="D2243" s="115"/>
    </row>
    <row r="2244" spans="4:4" s="19" customFormat="1">
      <c r="D2244" s="115"/>
    </row>
    <row r="2245" spans="4:4" s="19" customFormat="1">
      <c r="D2245" s="115"/>
    </row>
    <row r="2246" spans="4:4" s="19" customFormat="1">
      <c r="D2246" s="115"/>
    </row>
    <row r="2247" spans="4:4" s="19" customFormat="1">
      <c r="D2247" s="115"/>
    </row>
    <row r="2248" spans="4:4" s="19" customFormat="1">
      <c r="D2248" s="115"/>
    </row>
    <row r="2249" spans="4:4" s="19" customFormat="1">
      <c r="D2249" s="115"/>
    </row>
    <row r="2250" spans="4:4" s="19" customFormat="1">
      <c r="D2250" s="115"/>
    </row>
    <row r="2251" spans="4:4" s="19" customFormat="1">
      <c r="D2251" s="115"/>
    </row>
    <row r="2252" spans="4:4" s="19" customFormat="1">
      <c r="D2252" s="115"/>
    </row>
    <row r="2253" spans="4:4" s="19" customFormat="1">
      <c r="D2253" s="115"/>
    </row>
    <row r="2254" spans="4:4" s="19" customFormat="1">
      <c r="D2254" s="115"/>
    </row>
    <row r="2255" spans="4:4" s="19" customFormat="1">
      <c r="D2255" s="115"/>
    </row>
    <row r="2256" spans="4:4" s="19" customFormat="1">
      <c r="D2256" s="115"/>
    </row>
    <row r="2257" spans="4:4" s="19" customFormat="1">
      <c r="D2257" s="115"/>
    </row>
    <row r="2258" spans="4:4" s="19" customFormat="1">
      <c r="D2258" s="115"/>
    </row>
    <row r="2259" spans="4:4" s="19" customFormat="1">
      <c r="D2259" s="115"/>
    </row>
    <row r="2260" spans="4:4" s="19" customFormat="1">
      <c r="D2260" s="115"/>
    </row>
    <row r="2261" spans="4:4" s="19" customFormat="1">
      <c r="D2261" s="115"/>
    </row>
    <row r="2262" spans="4:4" s="19" customFormat="1">
      <c r="D2262" s="115"/>
    </row>
    <row r="2263" spans="4:4" s="19" customFormat="1">
      <c r="D2263" s="115"/>
    </row>
    <row r="2264" spans="4:4" s="19" customFormat="1">
      <c r="D2264" s="115"/>
    </row>
    <row r="2265" spans="4:4" s="19" customFormat="1">
      <c r="D2265" s="115"/>
    </row>
    <row r="2266" spans="4:4" s="19" customFormat="1">
      <c r="D2266" s="115"/>
    </row>
    <row r="2267" spans="4:4" s="19" customFormat="1">
      <c r="D2267" s="115"/>
    </row>
    <row r="2268" spans="4:4" s="19" customFormat="1">
      <c r="D2268" s="115"/>
    </row>
    <row r="2269" spans="4:4" s="19" customFormat="1">
      <c r="D2269" s="115"/>
    </row>
    <row r="2270" spans="4:4" s="19" customFormat="1">
      <c r="D2270" s="115"/>
    </row>
    <row r="2271" spans="4:4" s="19" customFormat="1">
      <c r="D2271" s="115"/>
    </row>
  </sheetData>
  <pageMargins left="0.70866141732283472" right="0.70866141732283472" top="0.78740157480314965" bottom="0.78740157480314965" header="0.31496062992125984" footer="0.31496062992125984"/>
  <pageSetup paperSize="9" scale="40"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51.81640625" style="124" customWidth="1"/>
    <col min="3" max="3" width="30.54296875" style="124" customWidth="1"/>
    <col min="4" max="4" width="18.81640625" style="124" customWidth="1"/>
    <col min="5" max="5" width="6.81640625" style="124" customWidth="1"/>
    <col min="6" max="6" width="18.81640625" style="124" customWidth="1"/>
    <col min="7" max="7" width="6.81640625" style="124" customWidth="1"/>
    <col min="8" max="8" width="18.81640625" style="124" customWidth="1"/>
    <col min="9" max="9" width="6.81640625" style="124" customWidth="1"/>
    <col min="10" max="10" width="18.81640625" style="124" customWidth="1"/>
    <col min="11" max="11" width="1.1796875" style="124" customWidth="1"/>
    <col min="12" max="12" width="3.1796875" style="124" customWidth="1"/>
    <col min="13" max="16" width="9.1796875" style="124"/>
    <col min="17" max="17" width="15.1796875" style="124" bestFit="1" customWidth="1"/>
    <col min="18" max="16384" width="9.1796875" style="124"/>
  </cols>
  <sheetData>
    <row r="1" spans="1:13" ht="6" customHeight="1">
      <c r="A1" s="180"/>
      <c r="B1" s="47"/>
      <c r="C1" s="47"/>
      <c r="D1" s="47"/>
      <c r="E1" s="47"/>
      <c r="F1" s="47"/>
      <c r="G1" s="47"/>
      <c r="H1" s="47"/>
      <c r="I1" s="47"/>
      <c r="J1" s="47"/>
      <c r="K1" s="181"/>
    </row>
    <row r="2" spans="1:13" s="105" customFormat="1" ht="18">
      <c r="A2" s="133"/>
      <c r="B2" s="134" t="str">
        <f>'Cover Sheet'!B2</f>
        <v>SC Germany Consumer 2023-1</v>
      </c>
      <c r="C2" s="134"/>
      <c r="D2" s="135" t="str">
        <f>'Cover Sheet'!D2</f>
        <v>Calculation Date</v>
      </c>
      <c r="E2" s="136"/>
      <c r="F2" s="137">
        <f>'Cover Sheet'!F2</f>
        <v>45973</v>
      </c>
      <c r="G2" s="136"/>
      <c r="H2" s="136"/>
      <c r="I2" s="136"/>
      <c r="J2" s="138"/>
      <c r="K2" s="383"/>
    </row>
    <row r="3" spans="1:13" s="105" customFormat="1" ht="18">
      <c r="A3" s="133"/>
      <c r="B3" s="134" t="str">
        <f>'Cover Sheet'!B3</f>
        <v>Monthly Investor Report</v>
      </c>
      <c r="C3" s="134"/>
      <c r="D3" s="141" t="str">
        <f>'Cover Sheet'!D3</f>
        <v>Payment Date</v>
      </c>
      <c r="E3" s="142"/>
      <c r="F3" s="143">
        <f>'Cover Sheet'!F3</f>
        <v>45975</v>
      </c>
      <c r="G3" s="142"/>
      <c r="H3" s="142"/>
      <c r="I3" s="142"/>
      <c r="J3" s="144"/>
      <c r="K3" s="154"/>
    </row>
    <row r="4" spans="1:13" s="105" customFormat="1" ht="13">
      <c r="A4" s="133"/>
      <c r="B4" s="184"/>
      <c r="C4" s="185"/>
      <c r="D4" s="141" t="str">
        <f>'Cover Sheet'!D4</f>
        <v>Period  No</v>
      </c>
      <c r="E4" s="142"/>
      <c r="F4" s="146">
        <f>'Cover Sheet'!F4</f>
        <v>27</v>
      </c>
      <c r="G4" s="142"/>
      <c r="H4" s="147"/>
      <c r="I4" s="142"/>
      <c r="J4" s="148"/>
      <c r="K4" s="383"/>
    </row>
    <row r="5" spans="1:13" s="105" customFormat="1" ht="18">
      <c r="A5" s="133"/>
      <c r="B5" s="187" t="s">
        <v>372</v>
      </c>
      <c r="C5" s="149"/>
      <c r="D5" s="141" t="str">
        <f>'Cover Sheet'!D5</f>
        <v>Monthly Period</v>
      </c>
      <c r="E5" s="142"/>
      <c r="F5" s="150">
        <f>'Cover Sheet'!F5</f>
        <v>45975</v>
      </c>
      <c r="G5" s="142"/>
      <c r="H5" s="147"/>
      <c r="I5" s="142"/>
      <c r="J5" s="148"/>
      <c r="K5" s="15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s="105" customFormat="1" ht="13">
      <c r="A7" s="133"/>
      <c r="B7" s="123"/>
      <c r="C7" s="123"/>
      <c r="D7" s="156" t="str">
        <f>'Cover Sheet'!D7</f>
        <v>Collection Period</v>
      </c>
      <c r="E7" s="157" t="str">
        <f>'Cover Sheet'!E7</f>
        <v>from</v>
      </c>
      <c r="F7" s="158" t="str">
        <f>'Cover Sheet'!F7</f>
        <v>01.10.2025</v>
      </c>
      <c r="G7" s="157" t="str">
        <f>'Cover Sheet'!G7</f>
        <v>to</v>
      </c>
      <c r="H7" s="158">
        <f>'Cover Sheet'!H7</f>
        <v>45961</v>
      </c>
      <c r="I7" s="384"/>
      <c r="J7" s="192"/>
      <c r="K7" s="154"/>
    </row>
    <row r="8" spans="1:13" s="105" customFormat="1" ht="13">
      <c r="A8" s="133"/>
      <c r="B8" s="123"/>
      <c r="C8" s="123"/>
      <c r="D8" s="123"/>
      <c r="E8" s="163"/>
      <c r="F8" s="162"/>
      <c r="G8" s="163"/>
      <c r="H8" s="123"/>
      <c r="I8" s="193"/>
      <c r="J8" s="123"/>
      <c r="K8" s="154"/>
    </row>
    <row r="9" spans="1:13" s="105" customFormat="1" ht="13">
      <c r="A9" s="133"/>
      <c r="B9" s="123"/>
      <c r="C9" s="123"/>
      <c r="D9" s="123"/>
      <c r="E9" s="123"/>
      <c r="F9" s="123"/>
      <c r="G9" s="123"/>
      <c r="H9" s="123"/>
      <c r="I9" s="123"/>
      <c r="J9" s="123"/>
      <c r="K9" s="139"/>
      <c r="M9" s="66"/>
    </row>
    <row r="10" spans="1:13" s="105" customFormat="1">
      <c r="A10" s="133"/>
      <c r="B10" s="123"/>
      <c r="C10" s="123"/>
      <c r="D10" s="19"/>
      <c r="E10" s="123"/>
      <c r="F10" s="129"/>
      <c r="G10" s="123"/>
      <c r="H10" s="123"/>
      <c r="I10" s="19"/>
      <c r="J10" s="19"/>
      <c r="K10" s="139"/>
    </row>
    <row r="11" spans="1:13" s="105" customFormat="1" ht="17.5">
      <c r="A11" s="133"/>
      <c r="B11" s="195"/>
      <c r="C11" s="123"/>
      <c r="D11" s="19"/>
      <c r="E11" s="123"/>
      <c r="F11" s="19"/>
      <c r="G11" s="385"/>
      <c r="H11" s="385"/>
      <c r="I11" s="19"/>
      <c r="J11" s="123"/>
      <c r="K11" s="139"/>
      <c r="M11" s="201"/>
    </row>
    <row r="12" spans="1:13" s="105" customFormat="1">
      <c r="A12" s="133"/>
      <c r="B12" s="123"/>
      <c r="C12" s="19"/>
      <c r="D12" s="19"/>
      <c r="E12" s="19"/>
      <c r="F12" s="19"/>
      <c r="G12" s="386"/>
      <c r="H12" s="386"/>
      <c r="I12" s="19"/>
      <c r="J12" s="19"/>
      <c r="K12" s="139"/>
      <c r="M12" s="201"/>
    </row>
    <row r="13" spans="1:13" s="105" customFormat="1" ht="15" customHeight="1">
      <c r="A13" s="133"/>
      <c r="B13" s="123"/>
      <c r="C13" s="387"/>
      <c r="D13" s="387"/>
      <c r="E13" s="387"/>
      <c r="F13" s="387"/>
      <c r="G13" s="388"/>
      <c r="H13" s="388"/>
      <c r="I13" s="388"/>
      <c r="J13" s="19"/>
      <c r="K13" s="139"/>
      <c r="M13" s="201"/>
    </row>
    <row r="14" spans="1:13" s="105" customFormat="1" ht="12.75" customHeight="1">
      <c r="A14" s="133"/>
      <c r="B14" s="1043" t="s">
        <v>259</v>
      </c>
      <c r="C14" s="1043"/>
      <c r="D14" s="1043"/>
      <c r="E14" s="1043"/>
      <c r="F14" s="1043"/>
      <c r="G14" s="1043"/>
      <c r="H14" s="388"/>
      <c r="I14" s="388"/>
      <c r="J14" s="19"/>
      <c r="K14" s="139"/>
      <c r="M14" s="201"/>
    </row>
    <row r="15" spans="1:13" ht="12.75" customHeight="1">
      <c r="A15" s="206"/>
      <c r="B15" s="1043"/>
      <c r="C15" s="1043"/>
      <c r="D15" s="1043"/>
      <c r="E15" s="1043"/>
      <c r="F15" s="1043"/>
      <c r="G15" s="1043"/>
      <c r="H15" s="388"/>
      <c r="I15" s="388"/>
      <c r="J15" s="19"/>
      <c r="K15" s="200"/>
      <c r="M15" s="201"/>
    </row>
    <row r="16" spans="1:13" ht="12.75" customHeight="1">
      <c r="A16" s="206"/>
      <c r="B16" s="1043"/>
      <c r="C16" s="1043"/>
      <c r="D16" s="1043"/>
      <c r="E16" s="1043"/>
      <c r="F16" s="1043"/>
      <c r="G16" s="1043"/>
      <c r="H16" s="388"/>
      <c r="I16" s="388"/>
      <c r="J16" s="19"/>
      <c r="K16" s="200"/>
      <c r="M16" s="201"/>
    </row>
    <row r="17" spans="1:13" ht="24" customHeight="1">
      <c r="A17" s="206"/>
      <c r="B17" s="1043"/>
      <c r="C17" s="1043"/>
      <c r="D17" s="1043"/>
      <c r="E17" s="1043"/>
      <c r="F17" s="1043"/>
      <c r="G17" s="1043"/>
      <c r="H17" s="388"/>
      <c r="I17" s="388"/>
      <c r="J17" s="19"/>
      <c r="K17" s="200"/>
      <c r="M17" s="201"/>
    </row>
    <row r="18" spans="1:13" ht="12.75" customHeight="1">
      <c r="A18" s="206"/>
      <c r="B18" s="19"/>
      <c r="C18" s="12"/>
      <c r="D18" s="123"/>
      <c r="E18" s="389"/>
      <c r="F18" s="245"/>
      <c r="G18" s="390"/>
      <c r="H18" s="245"/>
      <c r="I18" s="245"/>
      <c r="J18" s="19"/>
      <c r="K18" s="200"/>
      <c r="M18" s="201"/>
    </row>
    <row r="19" spans="1:13">
      <c r="A19" s="206"/>
      <c r="B19" s="95" t="s">
        <v>317</v>
      </c>
      <c r="C19" s="96"/>
      <c r="D19" s="912">
        <f>VLOOKUP("Retention_amt",Assets_Daten,3,0)</f>
        <v>24145922.350000016</v>
      </c>
      <c r="E19" s="256"/>
      <c r="F19" s="19"/>
      <c r="G19" s="19"/>
      <c r="H19" s="256"/>
      <c r="I19" s="19"/>
      <c r="J19" s="19"/>
      <c r="K19" s="200"/>
      <c r="M19" s="201"/>
    </row>
    <row r="20" spans="1:13">
      <c r="A20" s="206"/>
      <c r="B20" s="43"/>
      <c r="C20" s="12"/>
      <c r="D20" s="19"/>
      <c r="E20" s="19"/>
      <c r="F20" s="19"/>
      <c r="G20" s="19"/>
      <c r="H20" s="391"/>
      <c r="I20" s="19"/>
      <c r="J20" s="19"/>
      <c r="K20" s="200"/>
      <c r="M20" s="201"/>
    </row>
    <row r="21" spans="1:13">
      <c r="A21" s="206"/>
      <c r="B21" s="13"/>
      <c r="C21" s="12"/>
      <c r="D21" s="19"/>
      <c r="E21" s="19"/>
      <c r="F21" s="19"/>
      <c r="G21" s="19"/>
      <c r="H21" s="19"/>
      <c r="I21" s="19"/>
      <c r="J21" s="19"/>
      <c r="K21" s="200"/>
      <c r="M21" s="201"/>
    </row>
    <row r="22" spans="1:13">
      <c r="A22" s="206"/>
      <c r="B22" s="13"/>
      <c r="C22" s="12"/>
      <c r="D22" s="19"/>
      <c r="E22" s="19"/>
      <c r="F22" s="19"/>
      <c r="G22" s="19"/>
      <c r="H22" s="19"/>
      <c r="I22" s="19"/>
      <c r="J22" s="19"/>
      <c r="K22" s="200"/>
      <c r="M22" s="201"/>
    </row>
    <row r="23" spans="1:13">
      <c r="A23" s="206"/>
      <c r="B23" s="13"/>
      <c r="C23" s="12"/>
      <c r="D23" s="19"/>
      <c r="E23" s="19"/>
      <c r="F23" s="19"/>
      <c r="G23" s="19"/>
      <c r="H23" s="19"/>
      <c r="I23" s="19"/>
      <c r="J23" s="19"/>
      <c r="K23" s="200"/>
      <c r="M23" s="201"/>
    </row>
    <row r="24" spans="1:13">
      <c r="A24" s="221"/>
      <c r="B24" s="27"/>
      <c r="C24" s="10"/>
      <c r="D24" s="54"/>
      <c r="E24" s="54"/>
      <c r="F24" s="392"/>
      <c r="G24" s="54"/>
      <c r="H24" s="54"/>
      <c r="I24" s="54"/>
      <c r="J24" s="54"/>
      <c r="K24" s="222"/>
      <c r="M24" s="201"/>
    </row>
    <row r="25" spans="1:13">
      <c r="A25" s="19"/>
      <c r="B25" s="13"/>
      <c r="C25" s="12"/>
      <c r="D25" s="19"/>
      <c r="E25" s="19"/>
      <c r="F25" s="19"/>
      <c r="G25" s="19"/>
      <c r="H25" s="19"/>
      <c r="I25" s="19"/>
      <c r="J25" s="19"/>
      <c r="K25" s="19"/>
      <c r="M25" s="201"/>
    </row>
    <row r="26" spans="1:13">
      <c r="A26" s="19"/>
      <c r="B26" s="13"/>
      <c r="C26" s="12"/>
      <c r="D26" s="19"/>
      <c r="E26" s="19"/>
      <c r="F26" s="19"/>
      <c r="G26" s="19"/>
      <c r="H26" s="19"/>
      <c r="I26" s="19"/>
      <c r="J26" s="19"/>
      <c r="K26" s="19"/>
      <c r="M26" s="201"/>
    </row>
    <row r="27" spans="1:13">
      <c r="A27" s="19"/>
      <c r="B27" s="13"/>
      <c r="C27" s="12"/>
      <c r="D27" s="19"/>
      <c r="E27" s="19"/>
      <c r="F27" s="19"/>
      <c r="G27" s="19"/>
      <c r="H27" s="19"/>
      <c r="I27" s="19"/>
      <c r="J27" s="19"/>
      <c r="K27" s="19"/>
      <c r="M27" s="201"/>
    </row>
    <row r="28" spans="1:13">
      <c r="A28" s="19"/>
      <c r="B28" s="13"/>
      <c r="C28" s="12"/>
      <c r="D28" s="19"/>
      <c r="E28" s="19"/>
      <c r="F28" s="236"/>
      <c r="G28" s="393"/>
      <c r="H28" s="44"/>
      <c r="I28" s="199"/>
      <c r="J28" s="199"/>
      <c r="K28" s="19"/>
    </row>
    <row r="29" spans="1:13">
      <c r="A29" s="19"/>
      <c r="B29" s="13"/>
      <c r="C29" s="12"/>
      <c r="D29" s="223"/>
      <c r="E29" s="12"/>
      <c r="F29" s="224"/>
      <c r="G29" s="225"/>
      <c r="H29" s="224"/>
      <c r="I29" s="199"/>
      <c r="J29" s="19"/>
      <c r="K29" s="19"/>
    </row>
    <row r="30" spans="1:13">
      <c r="A30" s="19"/>
      <c r="B30" s="13"/>
      <c r="C30" s="12"/>
      <c r="D30" s="223"/>
      <c r="E30" s="12"/>
      <c r="F30" s="224"/>
      <c r="G30" s="225"/>
      <c r="H30" s="224"/>
      <c r="I30" s="199"/>
      <c r="J30" s="19"/>
      <c r="K30" s="19"/>
    </row>
    <row r="31" spans="1:13">
      <c r="A31" s="19"/>
      <c r="B31" s="13"/>
      <c r="C31" s="12"/>
      <c r="D31" s="223"/>
      <c r="E31" s="12"/>
      <c r="F31" s="224"/>
      <c r="G31" s="225"/>
      <c r="H31" s="224"/>
      <c r="I31" s="199"/>
      <c r="J31" s="19"/>
      <c r="K31" s="19"/>
      <c r="L31" s="19"/>
    </row>
    <row r="32" spans="1:13" s="19" customFormat="1">
      <c r="B32" s="13"/>
      <c r="C32" s="12"/>
      <c r="D32" s="223"/>
      <c r="E32" s="12"/>
      <c r="F32" s="394"/>
      <c r="G32" s="225"/>
      <c r="H32" s="224"/>
      <c r="I32" s="199"/>
    </row>
    <row r="33" spans="2:9" s="19" customFormat="1">
      <c r="B33" s="13"/>
      <c r="C33" s="12"/>
      <c r="D33" s="223"/>
      <c r="E33" s="12"/>
      <c r="F33" s="224"/>
      <c r="G33" s="225"/>
      <c r="H33" s="224"/>
      <c r="I33" s="199"/>
    </row>
    <row r="34" spans="2:9" s="123" customFormat="1" ht="15" customHeight="1">
      <c r="B34" s="13"/>
      <c r="C34" s="12"/>
      <c r="D34" s="223"/>
      <c r="E34" s="12"/>
      <c r="F34" s="224"/>
      <c r="G34" s="225"/>
      <c r="H34" s="224"/>
      <c r="I34" s="129"/>
    </row>
    <row r="35" spans="2:9" s="123" customFormat="1">
      <c r="B35" s="13"/>
      <c r="C35" s="12"/>
      <c r="D35" s="223"/>
      <c r="E35" s="12"/>
      <c r="F35" s="224"/>
      <c r="G35" s="225"/>
      <c r="H35" s="224"/>
      <c r="I35" s="129"/>
    </row>
    <row r="36" spans="2:9" s="19" customFormat="1">
      <c r="B36" s="13"/>
      <c r="C36" s="12"/>
      <c r="D36" s="223"/>
      <c r="E36" s="12"/>
      <c r="F36" s="224"/>
      <c r="G36" s="225"/>
      <c r="H36" s="224"/>
      <c r="I36" s="199"/>
    </row>
    <row r="37" spans="2:9" s="19" customFormat="1">
      <c r="B37" s="13"/>
      <c r="C37" s="12"/>
      <c r="D37" s="223"/>
      <c r="E37" s="12"/>
      <c r="F37" s="224"/>
      <c r="G37" s="225"/>
      <c r="H37" s="224"/>
      <c r="I37" s="199"/>
    </row>
    <row r="38" spans="2:9" s="19" customFormat="1">
      <c r="B38" s="13"/>
      <c r="C38" s="12"/>
      <c r="D38" s="223"/>
      <c r="E38" s="12"/>
      <c r="F38" s="224"/>
      <c r="G38" s="225"/>
      <c r="H38" s="224"/>
      <c r="I38" s="199"/>
    </row>
    <row r="39" spans="2:9" s="19" customFormat="1">
      <c r="B39" s="13"/>
      <c r="C39" s="12"/>
      <c r="D39" s="223"/>
      <c r="E39" s="12"/>
      <c r="F39" s="224"/>
      <c r="G39" s="225"/>
      <c r="H39" s="224"/>
      <c r="I39" s="199"/>
    </row>
    <row r="40" spans="2:9" s="19" customFormat="1">
      <c r="B40" s="13"/>
      <c r="C40" s="12"/>
      <c r="D40" s="223"/>
      <c r="E40" s="12"/>
      <c r="F40" s="224"/>
      <c r="G40" s="225"/>
      <c r="H40" s="224"/>
      <c r="I40" s="199"/>
    </row>
    <row r="41" spans="2:9" s="19" customFormat="1">
      <c r="B41" s="13"/>
      <c r="C41" s="12"/>
      <c r="D41" s="223"/>
      <c r="E41" s="12"/>
      <c r="F41" s="224"/>
      <c r="G41" s="225"/>
      <c r="H41" s="224"/>
      <c r="I41" s="199"/>
    </row>
    <row r="42" spans="2:9" s="19" customFormat="1">
      <c r="B42" s="13"/>
      <c r="C42" s="12"/>
      <c r="D42" s="223"/>
      <c r="E42" s="12"/>
      <c r="F42" s="224"/>
      <c r="G42" s="225"/>
      <c r="H42" s="224"/>
      <c r="I42" s="199"/>
    </row>
    <row r="43" spans="2:9" s="19" customFormat="1">
      <c r="B43" s="13"/>
      <c r="C43" s="12"/>
      <c r="D43" s="223"/>
      <c r="E43" s="12"/>
      <c r="F43" s="224"/>
      <c r="G43" s="225"/>
      <c r="H43" s="224"/>
      <c r="I43" s="199"/>
    </row>
    <row r="44" spans="2:9" s="19" customFormat="1" ht="18">
      <c r="B44" s="13"/>
      <c r="C44" s="12"/>
      <c r="D44" s="134"/>
      <c r="E44" s="12"/>
      <c r="F44" s="224"/>
      <c r="G44" s="225"/>
      <c r="H44" s="224"/>
      <c r="I44" s="199"/>
    </row>
    <row r="45" spans="2:9" s="19" customFormat="1">
      <c r="B45" s="13"/>
      <c r="C45" s="12"/>
      <c r="D45" s="223"/>
      <c r="E45" s="12"/>
      <c r="F45" s="224"/>
      <c r="G45" s="225"/>
      <c r="H45" s="224"/>
      <c r="I45" s="199"/>
    </row>
    <row r="46" spans="2:9" s="19" customFormat="1">
      <c r="B46" s="13"/>
      <c r="C46" s="12"/>
      <c r="D46" s="223"/>
      <c r="E46" s="12"/>
      <c r="F46" s="224"/>
      <c r="G46" s="225"/>
      <c r="H46" s="224"/>
      <c r="I46" s="199"/>
    </row>
    <row r="47" spans="2:9" s="19" customFormat="1">
      <c r="B47" s="13"/>
      <c r="C47" s="12"/>
      <c r="D47" s="223"/>
      <c r="E47" s="12"/>
      <c r="F47" s="224"/>
      <c r="G47" s="225"/>
      <c r="H47" s="224"/>
      <c r="I47" s="199"/>
    </row>
    <row r="48" spans="2:9" s="19" customFormat="1">
      <c r="B48" s="13"/>
      <c r="C48" s="12"/>
      <c r="D48" s="223"/>
      <c r="E48" s="12"/>
      <c r="F48" s="224"/>
      <c r="G48" s="225"/>
      <c r="H48" s="224"/>
      <c r="I48" s="199"/>
    </row>
    <row r="49" spans="2:9" s="19" customFormat="1">
      <c r="B49" s="13"/>
      <c r="C49" s="12"/>
      <c r="D49" s="223"/>
      <c r="E49" s="12"/>
      <c r="F49" s="224"/>
      <c r="G49" s="225"/>
      <c r="H49" s="224"/>
      <c r="I49" s="199"/>
    </row>
    <row r="50" spans="2:9" s="19" customFormat="1">
      <c r="B50" s="13"/>
      <c r="C50" s="12"/>
      <c r="D50" s="223"/>
      <c r="E50" s="12"/>
      <c r="F50" s="224"/>
      <c r="G50" s="225"/>
      <c r="H50" s="224"/>
      <c r="I50" s="199"/>
    </row>
    <row r="51" spans="2:9" s="19" customFormat="1">
      <c r="B51" s="13"/>
      <c r="C51" s="12"/>
      <c r="D51" s="223"/>
      <c r="E51" s="12"/>
      <c r="F51" s="224"/>
      <c r="G51" s="225"/>
      <c r="H51" s="224"/>
      <c r="I51" s="199"/>
    </row>
    <row r="52" spans="2:9" s="19" customFormat="1">
      <c r="B52" s="13"/>
      <c r="C52" s="12"/>
      <c r="D52" s="223"/>
      <c r="E52" s="12"/>
      <c r="F52" s="224"/>
      <c r="G52" s="225"/>
      <c r="H52" s="224"/>
      <c r="I52" s="199"/>
    </row>
    <row r="53" spans="2:9" s="19" customFormat="1">
      <c r="B53" s="13"/>
      <c r="C53" s="12"/>
      <c r="D53" s="223"/>
      <c r="E53" s="12"/>
      <c r="F53" s="224"/>
      <c r="G53" s="225"/>
      <c r="H53" s="224"/>
      <c r="I53" s="199"/>
    </row>
    <row r="54" spans="2:9" s="19" customFormat="1">
      <c r="B54" s="13"/>
      <c r="C54" s="12"/>
      <c r="D54" s="223"/>
      <c r="E54" s="12"/>
      <c r="F54" s="224"/>
      <c r="G54" s="225"/>
      <c r="H54" s="224"/>
      <c r="I54" s="199"/>
    </row>
    <row r="55" spans="2:9" s="19" customFormat="1">
      <c r="B55" s="13"/>
      <c r="C55" s="12"/>
      <c r="D55" s="223"/>
      <c r="E55" s="12"/>
      <c r="F55" s="224"/>
      <c r="G55" s="225"/>
      <c r="H55" s="224"/>
      <c r="I55" s="199"/>
    </row>
    <row r="56" spans="2:9" s="19" customFormat="1">
      <c r="B56" s="13"/>
      <c r="C56" s="12"/>
      <c r="D56" s="223"/>
      <c r="E56" s="12"/>
      <c r="F56" s="224"/>
      <c r="G56" s="225"/>
      <c r="H56" s="224"/>
      <c r="I56" s="199"/>
    </row>
    <row r="57" spans="2:9" s="19" customFormat="1">
      <c r="B57" s="13"/>
      <c r="C57" s="12"/>
      <c r="D57" s="223"/>
      <c r="E57" s="12"/>
      <c r="F57" s="224"/>
      <c r="G57" s="225"/>
      <c r="H57" s="224"/>
      <c r="I57" s="199"/>
    </row>
    <row r="58" spans="2:9" s="19" customFormat="1">
      <c r="B58" s="13"/>
      <c r="C58" s="12"/>
      <c r="D58" s="223"/>
      <c r="E58" s="12"/>
      <c r="F58" s="224"/>
      <c r="G58" s="225"/>
      <c r="H58" s="224"/>
      <c r="I58" s="199"/>
    </row>
    <row r="59" spans="2:9" s="19" customFormat="1">
      <c r="B59" s="13"/>
      <c r="C59" s="12"/>
      <c r="D59" s="223"/>
      <c r="E59" s="12"/>
      <c r="F59" s="224"/>
      <c r="G59" s="225"/>
      <c r="H59" s="224"/>
      <c r="I59" s="199"/>
    </row>
    <row r="60" spans="2:9" s="19" customFormat="1">
      <c r="B60" s="13"/>
      <c r="C60" s="12"/>
      <c r="D60" s="223"/>
      <c r="E60" s="12"/>
      <c r="F60" s="224"/>
      <c r="G60" s="225"/>
      <c r="H60" s="224"/>
      <c r="I60" s="199"/>
    </row>
    <row r="61" spans="2:9" s="19" customFormat="1">
      <c r="B61" s="13"/>
      <c r="C61" s="12"/>
      <c r="D61" s="223"/>
      <c r="E61" s="12"/>
      <c r="F61" s="224"/>
      <c r="G61" s="225"/>
      <c r="H61" s="224"/>
      <c r="I61" s="199"/>
    </row>
    <row r="62" spans="2:9" s="19" customFormat="1">
      <c r="B62" s="13"/>
      <c r="C62" s="12"/>
      <c r="D62" s="223"/>
      <c r="E62" s="12"/>
      <c r="F62" s="224"/>
      <c r="G62" s="225"/>
      <c r="H62" s="224"/>
      <c r="I62" s="199"/>
    </row>
    <row r="63" spans="2:9" s="19" customFormat="1">
      <c r="B63" s="13"/>
      <c r="C63" s="12"/>
      <c r="D63" s="223"/>
      <c r="E63" s="12"/>
      <c r="F63" s="224"/>
      <c r="G63" s="225"/>
      <c r="H63" s="224"/>
      <c r="I63" s="199"/>
    </row>
    <row r="64" spans="2:9" s="19" customFormat="1">
      <c r="B64" s="13"/>
      <c r="C64" s="12"/>
      <c r="D64" s="226"/>
      <c r="E64" s="227"/>
      <c r="F64" s="259"/>
      <c r="G64" s="229"/>
      <c r="H64" s="259"/>
      <c r="I64" s="199"/>
    </row>
    <row r="65" spans="2:9" s="19" customFormat="1">
      <c r="B65" s="13"/>
      <c r="C65" s="12"/>
      <c r="D65" s="226"/>
      <c r="E65" s="226"/>
      <c r="F65" s="226"/>
      <c r="G65" s="226"/>
      <c r="H65" s="226"/>
      <c r="I65" s="199"/>
    </row>
    <row r="66" spans="2:9" s="19" customFormat="1">
      <c r="B66" s="13"/>
      <c r="C66" s="12"/>
      <c r="D66" s="226"/>
      <c r="E66" s="226"/>
      <c r="F66" s="226"/>
      <c r="G66" s="226"/>
      <c r="H66" s="226"/>
      <c r="I66" s="199"/>
    </row>
    <row r="67" spans="2:9" s="19" customFormat="1">
      <c r="B67" s="13"/>
      <c r="C67" s="12"/>
      <c r="D67" s="230"/>
      <c r="E67" s="260"/>
      <c r="F67" s="226"/>
      <c r="G67" s="226"/>
      <c r="H67" s="226"/>
      <c r="I67" s="199"/>
    </row>
    <row r="68" spans="2:9" s="19" customFormat="1">
      <c r="B68" s="13"/>
      <c r="C68" s="12"/>
      <c r="D68" s="227"/>
      <c r="E68" s="260"/>
      <c r="F68" s="226"/>
      <c r="G68" s="226"/>
      <c r="H68" s="226"/>
      <c r="I68" s="199"/>
    </row>
    <row r="69" spans="2:9" s="19" customFormat="1">
      <c r="B69" s="13"/>
      <c r="C69" s="12"/>
      <c r="D69" s="226"/>
      <c r="E69" s="260"/>
      <c r="F69" s="226"/>
      <c r="G69" s="226"/>
      <c r="H69" s="226"/>
      <c r="I69" s="199"/>
    </row>
    <row r="70" spans="2:9" s="19" customFormat="1" ht="14">
      <c r="B70" s="226"/>
      <c r="C70" s="227"/>
      <c r="D70" s="232"/>
      <c r="E70" s="232"/>
      <c r="F70" s="232"/>
      <c r="G70" s="232"/>
      <c r="H70" s="232"/>
      <c r="I70" s="199"/>
    </row>
    <row r="71" spans="2:9" s="19" customFormat="1" ht="14">
      <c r="B71" s="123"/>
      <c r="C71" s="123"/>
      <c r="D71" s="232"/>
      <c r="E71" s="232"/>
      <c r="F71" s="232"/>
      <c r="G71" s="232"/>
      <c r="H71" s="232"/>
      <c r="I71" s="199"/>
    </row>
    <row r="72" spans="2:9" s="19" customFormat="1" ht="14">
      <c r="B72" s="123"/>
      <c r="C72" s="123"/>
      <c r="D72" s="233"/>
      <c r="E72" s="261"/>
      <c r="F72" s="232"/>
      <c r="G72" s="232"/>
      <c r="H72" s="232"/>
      <c r="I72" s="199"/>
    </row>
    <row r="73" spans="2:9" s="19" customFormat="1" ht="14">
      <c r="B73" s="230"/>
      <c r="C73" s="260"/>
      <c r="D73" s="235"/>
      <c r="E73" s="261"/>
      <c r="F73" s="232"/>
      <c r="G73" s="232"/>
      <c r="H73" s="232"/>
      <c r="I73" s="199"/>
    </row>
    <row r="74" spans="2:9" s="19" customFormat="1" ht="14">
      <c r="B74" s="236"/>
      <c r="C74" s="260"/>
      <c r="D74" s="232"/>
      <c r="E74" s="261"/>
      <c r="F74" s="232"/>
      <c r="G74" s="232"/>
      <c r="H74" s="232"/>
      <c r="I74" s="199"/>
    </row>
    <row r="75" spans="2:9" s="19" customFormat="1">
      <c r="C75" s="260"/>
      <c r="I75" s="199"/>
    </row>
    <row r="76" spans="2:9" s="19" customFormat="1">
      <c r="I76" s="199"/>
    </row>
    <row r="77" spans="2:9" s="19" customFormat="1">
      <c r="I77" s="199"/>
    </row>
    <row r="78" spans="2:9" s="19" customFormat="1">
      <c r="I78" s="199"/>
    </row>
    <row r="79" spans="2:9" s="19" customFormat="1">
      <c r="I79" s="199"/>
    </row>
    <row r="80" spans="2:9" s="19" customFormat="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row r="295" spans="9:9" s="19" customFormat="1"/>
    <row r="296" spans="9:9" s="19" customFormat="1"/>
    <row r="297" spans="9:9" s="19" customFormat="1"/>
    <row r="298" spans="9:9" s="19" customFormat="1"/>
    <row r="299" spans="9:9" s="19" customFormat="1"/>
    <row r="300" spans="9:9" s="19" customFormat="1"/>
    <row r="301" spans="9:9" s="19" customFormat="1"/>
    <row r="302" spans="9:9" s="19" customFormat="1"/>
    <row r="303" spans="9:9" s="19" customFormat="1"/>
    <row r="304" spans="9:9"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50"/>
  <sheetViews>
    <sheetView view="pageBreakPreview" topLeftCell="B1" zoomScale="80" zoomScaleNormal="70" zoomScaleSheetLayoutView="80" workbookViewId="0">
      <selection activeCell="B3" sqref="B3"/>
    </sheetView>
  </sheetViews>
  <sheetFormatPr baseColWidth="10" defaultColWidth="9.1796875" defaultRowHeight="12.5"/>
  <cols>
    <col min="1" max="1" width="1.1796875" style="265" customWidth="1"/>
    <col min="2" max="2" width="51.54296875" style="265" customWidth="1"/>
    <col min="3" max="3" width="47.1796875" style="265" bestFit="1" customWidth="1"/>
    <col min="4" max="4" width="10.81640625" style="265" customWidth="1"/>
    <col min="5" max="5" width="12.1796875" style="265" customWidth="1"/>
    <col min="6" max="6" width="10.1796875" style="265" customWidth="1"/>
    <col min="7" max="13" width="10.81640625" style="265" customWidth="1"/>
    <col min="14" max="14" width="12.1796875" style="265" customWidth="1"/>
    <col min="15" max="15" width="10.81640625" style="265" customWidth="1"/>
    <col min="16" max="16" width="1.1796875" style="265" customWidth="1"/>
    <col min="17" max="16384" width="9.1796875" style="265"/>
  </cols>
  <sheetData>
    <row r="1" spans="1:16" ht="6" customHeight="1">
      <c r="A1" s="262"/>
      <c r="B1" s="263"/>
      <c r="C1" s="263"/>
      <c r="D1" s="263"/>
      <c r="E1" s="263"/>
      <c r="F1" s="263"/>
      <c r="G1" s="263"/>
      <c r="H1" s="263"/>
      <c r="I1" s="263"/>
      <c r="J1" s="263"/>
      <c r="K1" s="263"/>
      <c r="L1" s="263"/>
      <c r="M1" s="263"/>
      <c r="N1" s="263"/>
      <c r="O1" s="263"/>
      <c r="P1" s="264"/>
    </row>
    <row r="2" spans="1:16" s="274" customFormat="1" ht="18">
      <c r="A2" s="266"/>
      <c r="B2" s="267" t="str">
        <f>'Cover Sheet'!B2</f>
        <v>SC Germany Consumer 2023-1</v>
      </c>
      <c r="C2" s="267"/>
      <c r="D2" s="1050" t="str">
        <f>'Cover Sheet'!D2</f>
        <v>Calculation Date</v>
      </c>
      <c r="E2" s="1051"/>
      <c r="F2" s="269"/>
      <c r="G2" s="137">
        <f>'Cover Sheet'!F2</f>
        <v>45973</v>
      </c>
      <c r="H2" s="376"/>
      <c r="I2" s="269"/>
      <c r="J2" s="269"/>
      <c r="K2" s="269"/>
      <c r="L2" s="269"/>
      <c r="M2" s="269"/>
      <c r="N2" s="271"/>
      <c r="P2" s="273"/>
    </row>
    <row r="3" spans="1:16" s="274" customFormat="1" ht="18">
      <c r="A3" s="266"/>
      <c r="B3" s="267" t="str">
        <f>'Cover Sheet'!B3</f>
        <v>Monthly Investor Report</v>
      </c>
      <c r="C3" s="267"/>
      <c r="D3" s="1052" t="str">
        <f>'Cover Sheet'!D3</f>
        <v>Payment Date</v>
      </c>
      <c r="E3" s="1053"/>
      <c r="F3" s="277"/>
      <c r="G3" s="143">
        <f>'Cover Sheet'!F3</f>
        <v>45975</v>
      </c>
      <c r="H3" s="377"/>
      <c r="I3" s="276"/>
      <c r="J3" s="276"/>
      <c r="K3" s="276"/>
      <c r="L3" s="276"/>
      <c r="M3" s="276"/>
      <c r="N3" s="278"/>
      <c r="P3" s="273"/>
    </row>
    <row r="4" spans="1:16" s="274" customFormat="1">
      <c r="A4" s="266"/>
      <c r="B4" s="280"/>
      <c r="C4" s="127"/>
      <c r="D4" s="1052" t="str">
        <f>'Cover Sheet'!D4</f>
        <v>Period  No</v>
      </c>
      <c r="E4" s="1053"/>
      <c r="F4" s="281"/>
      <c r="G4" s="146">
        <f>'Cover Sheet'!F4</f>
        <v>27</v>
      </c>
      <c r="H4" s="378"/>
      <c r="I4" s="282"/>
      <c r="J4" s="282"/>
      <c r="K4" s="282"/>
      <c r="L4" s="282"/>
      <c r="M4" s="276"/>
      <c r="N4" s="283"/>
      <c r="P4" s="273"/>
    </row>
    <row r="5" spans="1:16" s="274" customFormat="1" ht="18">
      <c r="A5" s="266"/>
      <c r="B5" s="284" t="s">
        <v>371</v>
      </c>
      <c r="C5" s="353"/>
      <c r="D5" s="1052" t="str">
        <f>'Cover Sheet'!D5</f>
        <v>Monthly Period</v>
      </c>
      <c r="E5" s="1053"/>
      <c r="F5" s="379"/>
      <c r="G5" s="150">
        <f>'Cover Sheet'!F5</f>
        <v>45975</v>
      </c>
      <c r="H5" s="276"/>
      <c r="I5" s="282"/>
      <c r="J5" s="282"/>
      <c r="K5" s="282"/>
      <c r="L5" s="282"/>
      <c r="M5" s="276"/>
      <c r="N5" s="283"/>
      <c r="P5" s="273"/>
    </row>
    <row r="6" spans="1:16" s="274" customFormat="1" ht="15" customHeight="1">
      <c r="A6" s="266"/>
      <c r="B6" s="285"/>
      <c r="C6" s="354"/>
      <c r="D6" s="1054" t="str">
        <f>'Cover Sheet'!D6</f>
        <v>Interest Period</v>
      </c>
      <c r="E6" s="1053"/>
      <c r="F6" s="277" t="s">
        <v>34</v>
      </c>
      <c r="G6" s="143">
        <f>'Cover Sheet'!F6</f>
        <v>45944</v>
      </c>
      <c r="H6" s="277" t="s">
        <v>4</v>
      </c>
      <c r="I6" s="277">
        <f>'Cover Sheet'!H6</f>
        <v>45975</v>
      </c>
      <c r="J6" s="277"/>
      <c r="K6" s="277"/>
      <c r="L6" s="277"/>
      <c r="M6" s="277" t="s">
        <v>15</v>
      </c>
      <c r="N6" s="288" t="str">
        <f>'Cover Sheet'!J6</f>
        <v>31 days</v>
      </c>
      <c r="P6" s="289"/>
    </row>
    <row r="7" spans="1:16" s="274" customFormat="1" ht="13">
      <c r="A7" s="266"/>
      <c r="B7" s="31"/>
      <c r="C7" s="31"/>
      <c r="D7" s="1055" t="str">
        <f>'Cover Sheet'!D7</f>
        <v>Collection Period</v>
      </c>
      <c r="E7" s="1056"/>
      <c r="F7" s="291" t="s">
        <v>34</v>
      </c>
      <c r="G7" s="158" t="str">
        <f>'Cover Sheet'!F7</f>
        <v>01.10.2025</v>
      </c>
      <c r="H7" s="291" t="s">
        <v>4</v>
      </c>
      <c r="I7" s="291">
        <f>'Cover Sheet'!H7</f>
        <v>45961</v>
      </c>
      <c r="J7" s="291"/>
      <c r="K7" s="291"/>
      <c r="L7" s="291"/>
      <c r="M7" s="380"/>
      <c r="N7" s="293"/>
      <c r="P7" s="273"/>
    </row>
    <row r="8" spans="1:16" s="274" customFormat="1" ht="13">
      <c r="A8" s="266"/>
      <c r="B8" s="31"/>
      <c r="C8" s="31"/>
      <c r="D8" s="23"/>
      <c r="E8" s="272"/>
      <c r="F8" s="294"/>
      <c r="G8" s="272"/>
      <c r="H8" s="31"/>
      <c r="I8" s="295"/>
      <c r="J8" s="295"/>
      <c r="K8" s="295"/>
      <c r="L8" s="295"/>
      <c r="M8" s="31"/>
      <c r="N8" s="279"/>
      <c r="O8" s="31"/>
      <c r="P8" s="273"/>
    </row>
    <row r="9" spans="1:16" s="274" customFormat="1" ht="13">
      <c r="A9" s="266"/>
      <c r="B9" s="31"/>
      <c r="C9" s="31"/>
      <c r="D9" s="23"/>
      <c r="E9" s="31"/>
      <c r="F9" s="31"/>
      <c r="G9" s="31"/>
      <c r="H9" s="31"/>
      <c r="I9" s="31"/>
      <c r="J9" s="31"/>
      <c r="K9" s="31"/>
      <c r="L9" s="31"/>
      <c r="M9" s="31"/>
      <c r="N9" s="31"/>
      <c r="O9" s="31"/>
      <c r="P9" s="296"/>
    </row>
    <row r="10" spans="1:16" s="274" customFormat="1">
      <c r="A10" s="266"/>
      <c r="B10" s="31"/>
      <c r="C10" s="31"/>
      <c r="D10" s="23"/>
      <c r="E10" s="31"/>
      <c r="F10" s="297"/>
      <c r="G10" s="31"/>
      <c r="H10" s="31"/>
      <c r="I10" s="23"/>
      <c r="J10" s="23"/>
      <c r="K10" s="23"/>
      <c r="L10" s="23"/>
      <c r="M10" s="23"/>
      <c r="N10" s="31"/>
      <c r="O10" s="31"/>
      <c r="P10" s="273"/>
    </row>
    <row r="11" spans="1:16" s="274" customFormat="1" ht="12.75" customHeight="1">
      <c r="A11" s="266"/>
      <c r="B11" s="298"/>
      <c r="C11" s="31"/>
      <c r="D11" s="30" t="s">
        <v>406</v>
      </c>
      <c r="E11" s="30" t="s">
        <v>407</v>
      </c>
      <c r="F11" s="30" t="s">
        <v>409</v>
      </c>
      <c r="G11" s="30" t="s">
        <v>263</v>
      </c>
      <c r="H11" s="30" t="s">
        <v>408</v>
      </c>
      <c r="I11" s="30" t="s">
        <v>242</v>
      </c>
      <c r="J11" s="33"/>
      <c r="K11" s="33"/>
      <c r="L11" s="33"/>
      <c r="M11" s="26"/>
      <c r="N11" s="26"/>
      <c r="O11" s="26"/>
      <c r="P11" s="300"/>
    </row>
    <row r="12" spans="1:16" s="274" customFormat="1" ht="15" customHeight="1">
      <c r="A12" s="266"/>
      <c r="B12" s="31"/>
      <c r="C12" s="23"/>
      <c r="D12" s="1047" t="s">
        <v>240</v>
      </c>
      <c r="E12" s="1048"/>
      <c r="F12" s="1049"/>
      <c r="G12" s="1047" t="s">
        <v>241</v>
      </c>
      <c r="H12" s="1048"/>
      <c r="I12" s="1049"/>
      <c r="J12" s="1044" t="s">
        <v>575</v>
      </c>
      <c r="K12" s="1045"/>
      <c r="L12" s="1046"/>
      <c r="M12" s="266"/>
      <c r="N12" s="31"/>
      <c r="O12" s="297"/>
      <c r="P12" s="273"/>
    </row>
    <row r="13" spans="1:16" s="274" customFormat="1" ht="33" customHeight="1">
      <c r="A13" s="266"/>
      <c r="B13" s="31"/>
      <c r="C13" s="22"/>
      <c r="D13" s="2" t="s">
        <v>107</v>
      </c>
      <c r="E13" s="2" t="s">
        <v>108</v>
      </c>
      <c r="F13" s="2" t="s">
        <v>109</v>
      </c>
      <c r="G13" s="2" t="s">
        <v>107</v>
      </c>
      <c r="H13" s="2" t="s">
        <v>108</v>
      </c>
      <c r="I13" s="2" t="s">
        <v>109</v>
      </c>
      <c r="J13" s="2" t="s">
        <v>107</v>
      </c>
      <c r="K13" s="2" t="s">
        <v>108</v>
      </c>
      <c r="L13" s="2" t="s">
        <v>109</v>
      </c>
      <c r="M13" s="31"/>
      <c r="N13" s="3" t="s">
        <v>186</v>
      </c>
      <c r="O13" s="297"/>
      <c r="P13" s="273"/>
    </row>
    <row r="14" spans="1:16" ht="12.75" customHeight="1">
      <c r="A14" s="312"/>
      <c r="B14" s="23"/>
      <c r="C14" s="23"/>
      <c r="D14" s="32" t="s">
        <v>406</v>
      </c>
      <c r="E14" s="32" t="s">
        <v>407</v>
      </c>
      <c r="F14" s="33" t="s">
        <v>409</v>
      </c>
      <c r="G14" s="32" t="s">
        <v>263</v>
      </c>
      <c r="H14" s="32" t="s">
        <v>408</v>
      </c>
      <c r="I14" s="32" t="s">
        <v>242</v>
      </c>
      <c r="J14" s="111"/>
      <c r="K14" s="111"/>
      <c r="L14" s="107"/>
      <c r="M14" s="23"/>
      <c r="N14" s="4"/>
      <c r="O14" s="297"/>
      <c r="P14" s="109"/>
    </row>
    <row r="15" spans="1:16" ht="12.75" customHeight="1">
      <c r="A15" s="312"/>
      <c r="B15" s="34" t="s">
        <v>425</v>
      </c>
      <c r="C15" s="104" t="s">
        <v>570</v>
      </c>
      <c r="D15" s="4" t="str">
        <f>VLOOKUP(C15,ratings,7,0)</f>
        <v>A+</v>
      </c>
      <c r="E15" s="4" t="str">
        <f>VLOOKUP($C15,ratings,10,FALSE)</f>
        <v>F1</v>
      </c>
      <c r="F15" s="4" t="str">
        <f>VLOOKUP($C15,ratings,11,FALSE)</f>
        <v>STABLE</v>
      </c>
      <c r="G15" s="4" t="str">
        <f>VLOOKUP($C15,ratings,3,FALSE)</f>
        <v>A1</v>
      </c>
      <c r="H15" s="4" t="str">
        <f>VLOOKUP($C15,ratings,5,FALSE)</f>
        <v>P-1</v>
      </c>
      <c r="I15" s="4" t="str">
        <f>VLOOKUP($C15,ratings,6,FALSE)</f>
        <v>STABLE</v>
      </c>
      <c r="J15" s="4" t="str">
        <f>VLOOKUP($C15,ratings,13,FALSE)</f>
        <v>AH</v>
      </c>
      <c r="K15" s="4" t="str">
        <f>VLOOKUP($C15,ratings,15,FALSE)</f>
        <v>R-1M</v>
      </c>
      <c r="L15" s="4" t="str">
        <f>VLOOKUP($C15,ratings,16,FALSE)</f>
        <v>STABLE</v>
      </c>
      <c r="M15" s="23"/>
      <c r="N15" s="4" t="s">
        <v>201</v>
      </c>
      <c r="O15" s="297"/>
      <c r="P15" s="109"/>
    </row>
    <row r="16" spans="1:16" ht="12.75" customHeight="1">
      <c r="A16" s="312"/>
      <c r="B16" s="6"/>
      <c r="C16" s="105" t="s">
        <v>571</v>
      </c>
      <c r="D16" s="36"/>
      <c r="E16" s="36"/>
      <c r="F16" s="23"/>
      <c r="G16" s="36"/>
      <c r="H16" s="23"/>
      <c r="I16" s="36"/>
      <c r="J16" s="36"/>
      <c r="K16" s="36"/>
      <c r="L16" s="109"/>
      <c r="M16" s="23"/>
      <c r="N16" s="4"/>
      <c r="O16" s="297"/>
      <c r="P16" s="109"/>
    </row>
    <row r="17" spans="1:16" ht="12.75" customHeight="1">
      <c r="A17" s="312"/>
      <c r="B17" s="7"/>
      <c r="C17" s="105" t="s">
        <v>572</v>
      </c>
      <c r="D17" s="4"/>
      <c r="E17" s="4"/>
      <c r="F17" s="953"/>
      <c r="G17" s="4"/>
      <c r="H17" s="953"/>
      <c r="I17" s="4"/>
      <c r="J17" s="4"/>
      <c r="K17" s="4"/>
      <c r="L17" s="108"/>
      <c r="M17" s="23"/>
      <c r="N17" s="4"/>
      <c r="O17" s="297"/>
      <c r="P17" s="109"/>
    </row>
    <row r="18" spans="1:16" ht="12.75" customHeight="1">
      <c r="A18" s="312"/>
      <c r="B18" s="7"/>
      <c r="C18" s="105" t="s">
        <v>573</v>
      </c>
      <c r="D18" s="36"/>
      <c r="E18" s="36"/>
      <c r="F18" s="23"/>
      <c r="G18" s="36"/>
      <c r="H18" s="23"/>
      <c r="I18" s="36"/>
      <c r="J18" s="36"/>
      <c r="K18" s="36"/>
      <c r="L18" s="109"/>
      <c r="M18" s="23"/>
      <c r="N18" s="4"/>
      <c r="O18" s="297"/>
      <c r="P18" s="109"/>
    </row>
    <row r="19" spans="1:16" ht="12.75" customHeight="1">
      <c r="A19" s="312"/>
      <c r="B19" s="7"/>
      <c r="C19" s="106" t="s">
        <v>185</v>
      </c>
      <c r="D19" s="36"/>
      <c r="E19" s="36"/>
      <c r="F19" s="23"/>
      <c r="G19" s="36"/>
      <c r="H19" s="23"/>
      <c r="I19" s="36"/>
      <c r="J19" s="36"/>
      <c r="K19" s="36"/>
      <c r="L19" s="109"/>
      <c r="M19" s="23"/>
      <c r="N19" s="4"/>
      <c r="O19" s="297"/>
      <c r="P19" s="109"/>
    </row>
    <row r="20" spans="1:16" ht="12.75" customHeight="1">
      <c r="A20" s="312"/>
      <c r="B20" s="7"/>
      <c r="C20" s="74"/>
      <c r="D20" s="4"/>
      <c r="E20" s="4"/>
      <c r="F20" s="953"/>
      <c r="G20" s="4"/>
      <c r="H20" s="953"/>
      <c r="I20" s="4"/>
      <c r="J20" s="4"/>
      <c r="K20" s="4"/>
      <c r="L20" s="108"/>
      <c r="M20" s="23"/>
      <c r="N20" s="4"/>
      <c r="O20" s="297"/>
      <c r="P20" s="109"/>
    </row>
    <row r="21" spans="1:16" ht="12.75" customHeight="1">
      <c r="A21" s="312"/>
      <c r="B21" s="7"/>
      <c r="C21" s="74" t="s">
        <v>574</v>
      </c>
      <c r="D21" s="4" t="str">
        <f>VLOOKUP(C21,ratings,8,0)</f>
        <v>A-</v>
      </c>
      <c r="E21" s="4" t="str">
        <f>VLOOKUP($C21,ratings,10,FALSE)</f>
        <v>F1</v>
      </c>
      <c r="F21" s="4" t="str">
        <f>VLOOKUP($C21,ratings,11,FALSE)</f>
        <v>STABLE</v>
      </c>
      <c r="G21" s="4" t="str">
        <f>VLOOKUP($C21,ratings,3,FALSE)</f>
        <v>A1</v>
      </c>
      <c r="H21" s="4" t="str">
        <f>VLOOKUP($C21,ratings,5,FALSE)</f>
        <v>P-1</v>
      </c>
      <c r="I21" s="4" t="str">
        <f>VLOOKUP($C21,ratings,6,FALSE)</f>
        <v>STABLE</v>
      </c>
      <c r="J21" s="4" t="str">
        <f>VLOOKUP($C21,ratings,13,FALSE)</f>
        <v>AH</v>
      </c>
      <c r="K21" s="4" t="str">
        <f>VLOOKUP($C21,ratings,15,FALSE)</f>
        <v>R-1M</v>
      </c>
      <c r="L21" s="4" t="str">
        <f>VLOOKUP($C21,ratings,16,FALSE)</f>
        <v>STABLE</v>
      </c>
      <c r="M21" s="23"/>
      <c r="N21" s="4" t="s">
        <v>201</v>
      </c>
      <c r="O21" s="297"/>
      <c r="P21" s="109"/>
    </row>
    <row r="22" spans="1:16" ht="12.75" customHeight="1">
      <c r="A22" s="312"/>
      <c r="B22" s="7"/>
      <c r="C22" s="75" t="s">
        <v>776</v>
      </c>
      <c r="D22" s="36"/>
      <c r="E22" s="36"/>
      <c r="F22" s="23"/>
      <c r="G22" s="36"/>
      <c r="H22" s="23"/>
      <c r="I22" s="36"/>
      <c r="J22" s="36"/>
      <c r="K22" s="36"/>
      <c r="L22" s="109"/>
      <c r="M22" s="23"/>
      <c r="N22" s="4"/>
      <c r="O22" s="297"/>
      <c r="P22" s="109"/>
    </row>
    <row r="23" spans="1:16" ht="12.75" customHeight="1">
      <c r="A23" s="312"/>
      <c r="B23" s="7"/>
      <c r="C23" s="75" t="s">
        <v>777</v>
      </c>
      <c r="D23" s="36"/>
      <c r="E23" s="36"/>
      <c r="F23" s="23"/>
      <c r="G23" s="36"/>
      <c r="H23" s="23"/>
      <c r="I23" s="36"/>
      <c r="J23" s="36"/>
      <c r="K23" s="36"/>
      <c r="L23" s="109"/>
      <c r="M23" s="23"/>
      <c r="N23" s="4"/>
      <c r="O23" s="297"/>
      <c r="P23" s="109"/>
    </row>
    <row r="24" spans="1:16" ht="12.75" customHeight="1">
      <c r="A24" s="312"/>
      <c r="B24" s="7"/>
      <c r="C24" s="75" t="s">
        <v>196</v>
      </c>
      <c r="D24" s="36"/>
      <c r="E24" s="36"/>
      <c r="F24" s="23"/>
      <c r="G24" s="36"/>
      <c r="H24" s="23"/>
      <c r="I24" s="36"/>
      <c r="J24" s="36"/>
      <c r="K24" s="36"/>
      <c r="L24" s="109"/>
      <c r="M24" s="23"/>
      <c r="N24" s="4"/>
      <c r="O24" s="297"/>
      <c r="P24" s="109"/>
    </row>
    <row r="25" spans="1:16" ht="12.75" customHeight="1">
      <c r="A25" s="312"/>
      <c r="B25" s="7"/>
      <c r="C25" s="75"/>
      <c r="D25" s="36"/>
      <c r="E25" s="36"/>
      <c r="F25" s="23"/>
      <c r="G25" s="36"/>
      <c r="H25" s="23"/>
      <c r="I25" s="36"/>
      <c r="J25" s="36"/>
      <c r="K25" s="36"/>
      <c r="L25" s="109"/>
      <c r="M25" s="23"/>
      <c r="N25" s="4"/>
      <c r="O25" s="297"/>
      <c r="P25" s="109"/>
    </row>
    <row r="26" spans="1:16" ht="12.75" customHeight="1">
      <c r="A26" s="312"/>
      <c r="B26" s="73"/>
      <c r="C26" s="74" t="s">
        <v>785</v>
      </c>
      <c r="D26" s="4" t="str">
        <f>VLOOKUP(C26,ratings,8,0)</f>
        <v>A+</v>
      </c>
      <c r="E26" s="4" t="str">
        <f>VLOOKUP($C26,ratings,10,FALSE)</f>
        <v>F1</v>
      </c>
      <c r="F26" s="4" t="str">
        <f>VLOOKUP($C26,ratings,11,FALSE)</f>
        <v>STABLE</v>
      </c>
      <c r="G26" s="4" t="str">
        <f>VLOOKUP($C26,ratings,3,FALSE)</f>
        <v>Baa1</v>
      </c>
      <c r="H26" s="4" t="str">
        <f>VLOOKUP($C26,ratings,5,FALSE)</f>
        <v>-</v>
      </c>
      <c r="I26" s="4" t="str">
        <f>VLOOKUP($C26,ratings,6,FALSE)</f>
        <v>STABLE</v>
      </c>
      <c r="J26" s="4" t="str">
        <f>VLOOKUP($C26,ratings,13,FALSE)</f>
        <v>AH</v>
      </c>
      <c r="K26" s="4" t="str">
        <f>VLOOKUP($C26,ratings,15,FALSE)</f>
        <v>R-1M</v>
      </c>
      <c r="L26" s="4" t="str">
        <f>VLOOKUP($C26,ratings,16,FALSE)</f>
        <v>STABLE</v>
      </c>
      <c r="M26" s="23"/>
      <c r="N26" s="4" t="s">
        <v>201</v>
      </c>
      <c r="O26" s="297"/>
      <c r="P26" s="109"/>
    </row>
    <row r="27" spans="1:16" ht="12.75" customHeight="1">
      <c r="A27" s="312"/>
      <c r="B27" s="7"/>
      <c r="C27" s="75" t="s">
        <v>778</v>
      </c>
      <c r="D27" s="36"/>
      <c r="E27" s="36"/>
      <c r="F27" s="23"/>
      <c r="G27" s="36"/>
      <c r="H27" s="23"/>
      <c r="I27" s="36"/>
      <c r="J27" s="36"/>
      <c r="K27" s="36"/>
      <c r="L27" s="109"/>
      <c r="M27" s="23"/>
      <c r="N27" s="4"/>
      <c r="O27" s="297"/>
      <c r="P27" s="109"/>
    </row>
    <row r="28" spans="1:16" ht="12.75" customHeight="1">
      <c r="A28" s="312"/>
      <c r="B28" s="7"/>
      <c r="C28" s="75" t="s">
        <v>779</v>
      </c>
      <c r="D28" s="36"/>
      <c r="E28" s="36"/>
      <c r="F28" s="23"/>
      <c r="G28" s="36"/>
      <c r="H28" s="23"/>
      <c r="I28" s="36"/>
      <c r="J28" s="36"/>
      <c r="K28" s="36"/>
      <c r="L28" s="109"/>
      <c r="M28" s="23"/>
      <c r="N28" s="4"/>
      <c r="O28" s="297"/>
      <c r="P28" s="109"/>
    </row>
    <row r="29" spans="1:16" ht="12.75" customHeight="1">
      <c r="A29" s="312"/>
      <c r="B29" s="7"/>
      <c r="C29" s="75" t="s">
        <v>415</v>
      </c>
      <c r="D29" s="36"/>
      <c r="E29" s="36"/>
      <c r="F29" s="23"/>
      <c r="G29" s="36"/>
      <c r="H29" s="23"/>
      <c r="I29" s="36"/>
      <c r="J29" s="36"/>
      <c r="K29" s="36"/>
      <c r="L29" s="109"/>
      <c r="M29" s="23"/>
      <c r="N29" s="4"/>
      <c r="O29" s="297"/>
      <c r="P29" s="109"/>
    </row>
    <row r="30" spans="1:16" ht="12.75" customHeight="1">
      <c r="A30" s="312"/>
      <c r="B30" s="7"/>
      <c r="C30" s="75"/>
      <c r="D30" s="36"/>
      <c r="E30" s="36"/>
      <c r="F30" s="23"/>
      <c r="G30" s="36"/>
      <c r="H30" s="23"/>
      <c r="I30" s="36"/>
      <c r="J30" s="36"/>
      <c r="K30" s="36"/>
      <c r="L30" s="109"/>
      <c r="M30" s="23"/>
      <c r="N30" s="4"/>
      <c r="O30" s="297"/>
      <c r="P30" s="109"/>
    </row>
    <row r="31" spans="1:16" ht="12.75" customHeight="1">
      <c r="A31" s="312"/>
      <c r="B31" s="73" t="s">
        <v>423</v>
      </c>
      <c r="C31" s="74" t="s">
        <v>256</v>
      </c>
      <c r="D31" s="4" t="str">
        <f>VLOOKUP(C31,ratings,8,0)</f>
        <v>-</v>
      </c>
      <c r="E31" s="4" t="str">
        <f>VLOOKUP($C31,ratings,10,FALSE)</f>
        <v>-</v>
      </c>
      <c r="F31" s="4" t="str">
        <f>VLOOKUP($C31,ratings,11,FALSE)</f>
        <v>-</v>
      </c>
      <c r="G31" s="4" t="str">
        <f>VLOOKUP($C31,ratings,3,FALSE)</f>
        <v>-</v>
      </c>
      <c r="H31" s="4" t="str">
        <f>VLOOKUP($C31,ratings,5,FALSE)</f>
        <v>-</v>
      </c>
      <c r="I31" s="4" t="str">
        <f>VLOOKUP($C31,ratings,6,FALSE)</f>
        <v>-</v>
      </c>
      <c r="J31" s="4" t="str">
        <f>VLOOKUP($C31,ratings,13,FALSE)</f>
        <v>-</v>
      </c>
      <c r="K31" s="4" t="str">
        <f>VLOOKUP($C31,ratings,15,FALSE)</f>
        <v>-</v>
      </c>
      <c r="L31" s="4" t="str">
        <f>VLOOKUP($C31,ratings,16,FALSE)</f>
        <v>-</v>
      </c>
      <c r="M31" s="23"/>
      <c r="N31" s="4" t="s">
        <v>201</v>
      </c>
      <c r="O31" s="297"/>
      <c r="P31" s="109"/>
    </row>
    <row r="32" spans="1:16" ht="12.75" customHeight="1">
      <c r="A32" s="312"/>
      <c r="B32" s="7"/>
      <c r="C32" s="75" t="s">
        <v>438</v>
      </c>
      <c r="D32" s="36"/>
      <c r="E32" s="36"/>
      <c r="F32" s="23"/>
      <c r="G32" s="36"/>
      <c r="H32" s="23"/>
      <c r="I32" s="36"/>
      <c r="J32" s="36"/>
      <c r="K32" s="36"/>
      <c r="L32" s="109"/>
      <c r="M32" s="23"/>
      <c r="N32" s="4"/>
      <c r="O32" s="297"/>
      <c r="P32" s="109"/>
    </row>
    <row r="33" spans="1:16" ht="12.75" customHeight="1">
      <c r="A33" s="312"/>
      <c r="B33" s="7"/>
      <c r="C33" s="75" t="s">
        <v>424</v>
      </c>
      <c r="D33" s="36"/>
      <c r="E33" s="36"/>
      <c r="F33" s="23"/>
      <c r="G33" s="36"/>
      <c r="H33" s="23"/>
      <c r="I33" s="36"/>
      <c r="J33" s="36"/>
      <c r="K33" s="36"/>
      <c r="L33" s="109"/>
      <c r="M33" s="23"/>
      <c r="N33" s="4"/>
      <c r="O33" s="297"/>
      <c r="P33" s="109"/>
    </row>
    <row r="34" spans="1:16" ht="12.75" customHeight="1">
      <c r="A34" s="312"/>
      <c r="B34" s="7"/>
      <c r="C34" s="75" t="s">
        <v>254</v>
      </c>
      <c r="D34" s="36"/>
      <c r="E34" s="36"/>
      <c r="F34" s="23"/>
      <c r="G34" s="36"/>
      <c r="H34" s="23"/>
      <c r="I34" s="36"/>
      <c r="J34" s="36"/>
      <c r="K34" s="36"/>
      <c r="L34" s="109"/>
      <c r="M34" s="23"/>
      <c r="N34" s="4"/>
      <c r="O34" s="297"/>
      <c r="P34" s="109"/>
    </row>
    <row r="35" spans="1:16" ht="12.75" customHeight="1">
      <c r="A35" s="312"/>
      <c r="B35" s="7"/>
      <c r="C35" s="75"/>
      <c r="D35" s="36"/>
      <c r="E35" s="36"/>
      <c r="F35" s="23"/>
      <c r="G35" s="36"/>
      <c r="H35" s="23"/>
      <c r="I35" s="36"/>
      <c r="J35" s="36"/>
      <c r="K35" s="36"/>
      <c r="L35" s="109"/>
      <c r="M35" s="23"/>
      <c r="N35" s="4"/>
      <c r="O35" s="297"/>
      <c r="P35" s="109"/>
    </row>
    <row r="36" spans="1:16" ht="12.75" customHeight="1">
      <c r="A36" s="312"/>
      <c r="B36" s="7"/>
      <c r="C36" s="75"/>
      <c r="D36" s="36"/>
      <c r="E36" s="36"/>
      <c r="F36" s="23"/>
      <c r="G36" s="36"/>
      <c r="H36" s="23"/>
      <c r="I36" s="36"/>
      <c r="J36" s="36"/>
      <c r="K36" s="36"/>
      <c r="L36" s="109"/>
      <c r="M36" s="23"/>
      <c r="N36" s="4"/>
      <c r="O36" s="297"/>
      <c r="P36" s="109"/>
    </row>
    <row r="37" spans="1:16" ht="12.75" customHeight="1">
      <c r="A37" s="312"/>
      <c r="B37" s="73" t="s">
        <v>429</v>
      </c>
      <c r="C37" s="101" t="s">
        <v>444</v>
      </c>
      <c r="D37" s="4" t="str">
        <f>VLOOKUP(C37,ratings,8,0)</f>
        <v>AA</v>
      </c>
      <c r="E37" s="4" t="str">
        <f>VLOOKUP($C37,ratings,10,FALSE)</f>
        <v>F1+</v>
      </c>
      <c r="F37" s="4" t="str">
        <f>VLOOKUP($C37,ratings,11,FALSE)</f>
        <v>STABLE</v>
      </c>
      <c r="G37" s="4" t="str">
        <f>VLOOKUP($C37,ratings,3,FALSE)</f>
        <v>-</v>
      </c>
      <c r="H37" s="4" t="str">
        <f>VLOOKUP($C37,ratings,5,FALSE)</f>
        <v>P-1</v>
      </c>
      <c r="I37" s="4" t="str">
        <f>VLOOKUP($C37,ratings,6,FALSE)</f>
        <v>STABLE</v>
      </c>
      <c r="J37" s="4" t="str">
        <f>VLOOKUP($C37,ratings,13,FALSE)</f>
        <v>AAH</v>
      </c>
      <c r="K37" s="4" t="str">
        <f>VLOOKUP($C37,ratings,15,FALSE)</f>
        <v>R-1H</v>
      </c>
      <c r="L37" s="4" t="str">
        <f>VLOOKUP($C37,ratings,16,FALSE)</f>
        <v>STABLE</v>
      </c>
      <c r="M37" s="23"/>
      <c r="N37" s="4" t="s">
        <v>201</v>
      </c>
      <c r="O37" s="297"/>
      <c r="P37" s="109"/>
    </row>
    <row r="38" spans="1:16" ht="12.75" customHeight="1">
      <c r="A38" s="312"/>
      <c r="B38" s="7" t="s">
        <v>421</v>
      </c>
      <c r="C38" s="99" t="s">
        <v>430</v>
      </c>
      <c r="D38" s="36"/>
      <c r="E38" s="36"/>
      <c r="F38" s="23"/>
      <c r="G38" s="36"/>
      <c r="H38" s="23"/>
      <c r="I38" s="36"/>
      <c r="J38" s="36"/>
      <c r="K38" s="36"/>
      <c r="L38" s="109"/>
      <c r="M38" s="23"/>
      <c r="N38" s="4"/>
      <c r="O38" s="297"/>
      <c r="P38" s="109"/>
    </row>
    <row r="39" spans="1:16" ht="12.75" customHeight="1">
      <c r="A39" s="312"/>
      <c r="B39" s="7"/>
      <c r="C39" s="75" t="s">
        <v>422</v>
      </c>
      <c r="D39" s="36"/>
      <c r="E39" s="36"/>
      <c r="F39" s="23"/>
      <c r="G39" s="36"/>
      <c r="H39" s="23"/>
      <c r="I39" s="36"/>
      <c r="J39" s="36"/>
      <c r="K39" s="36"/>
      <c r="L39" s="109"/>
      <c r="M39" s="23"/>
      <c r="N39" s="4"/>
      <c r="O39" s="297"/>
      <c r="P39" s="109"/>
    </row>
    <row r="40" spans="1:16" ht="12.75" customHeight="1">
      <c r="A40" s="312"/>
      <c r="B40" s="7"/>
      <c r="C40" s="75" t="s">
        <v>254</v>
      </c>
      <c r="D40" s="36"/>
      <c r="E40" s="36"/>
      <c r="F40" s="23"/>
      <c r="G40" s="36"/>
      <c r="H40" s="23"/>
      <c r="I40" s="36"/>
      <c r="J40" s="36"/>
      <c r="K40" s="36"/>
      <c r="L40" s="109"/>
      <c r="M40" s="23"/>
      <c r="N40" s="4"/>
      <c r="O40" s="297"/>
      <c r="P40" s="109"/>
    </row>
    <row r="41" spans="1:16" ht="12.75" customHeight="1">
      <c r="A41" s="312"/>
      <c r="B41" s="7"/>
      <c r="C41" s="70"/>
      <c r="D41" s="36"/>
      <c r="E41" s="36"/>
      <c r="F41" s="23"/>
      <c r="G41" s="36"/>
      <c r="H41" s="23"/>
      <c r="I41" s="36"/>
      <c r="J41" s="36"/>
      <c r="K41" s="36"/>
      <c r="L41" s="109"/>
      <c r="M41" s="23"/>
      <c r="N41" s="4"/>
      <c r="O41" s="297"/>
      <c r="P41" s="109"/>
    </row>
    <row r="42" spans="1:16" ht="12.75" customHeight="1">
      <c r="A42" s="312"/>
      <c r="B42" s="34" t="s">
        <v>416</v>
      </c>
      <c r="C42" s="76" t="s">
        <v>441</v>
      </c>
      <c r="D42" s="4" t="str">
        <f>VLOOKUP(C42,ratings,8,0)</f>
        <v>AA</v>
      </c>
      <c r="E42" s="4" t="str">
        <f>VLOOKUP($C42,ratings,10,FALSE)</f>
        <v>F1+</v>
      </c>
      <c r="F42" s="4" t="str">
        <f>VLOOKUP($C42,ratings,11,FALSE)</f>
        <v>STABLE</v>
      </c>
      <c r="G42" s="4" t="str">
        <f>VLOOKUP($C42,ratings,3,FALSE)</f>
        <v>Aa2</v>
      </c>
      <c r="H42" s="4" t="str">
        <f>VLOOKUP($C42,ratings,5,FALSE)</f>
        <v>P-1</v>
      </c>
      <c r="I42" s="4" t="str">
        <f>VLOOKUP($C42,ratings,6,FALSE)</f>
        <v>STABLE</v>
      </c>
      <c r="J42" s="4" t="str">
        <f>VLOOKUP($C42,ratings,13,FALSE)</f>
        <v>AAH</v>
      </c>
      <c r="K42" s="4" t="str">
        <f>VLOOKUP($C42,ratings,15,FALSE)</f>
        <v>R-1H</v>
      </c>
      <c r="L42" s="4" t="str">
        <f>VLOOKUP($C42,ratings,16,FALSE)</f>
        <v>STABLE</v>
      </c>
      <c r="M42" s="23"/>
      <c r="N42" s="4" t="s">
        <v>201</v>
      </c>
      <c r="O42" s="297"/>
      <c r="P42" s="109"/>
    </row>
    <row r="43" spans="1:16" ht="12.75" customHeight="1">
      <c r="A43" s="312"/>
      <c r="B43" s="72" t="s">
        <v>417</v>
      </c>
      <c r="C43" s="75" t="s">
        <v>427</v>
      </c>
      <c r="D43" s="36"/>
      <c r="E43" s="36"/>
      <c r="F43" s="23"/>
      <c r="G43" s="36"/>
      <c r="H43" s="23"/>
      <c r="I43" s="36"/>
      <c r="J43" s="36"/>
      <c r="K43" s="36"/>
      <c r="L43" s="109"/>
      <c r="M43" s="23"/>
      <c r="N43" s="4"/>
      <c r="O43" s="297"/>
      <c r="P43" s="109"/>
    </row>
    <row r="44" spans="1:16" ht="12.75" customHeight="1">
      <c r="A44" s="312"/>
      <c r="B44" s="22" t="s">
        <v>418</v>
      </c>
      <c r="C44" s="75" t="s">
        <v>419</v>
      </c>
      <c r="D44" s="36"/>
      <c r="E44" s="36"/>
      <c r="F44" s="23"/>
      <c r="G44" s="36"/>
      <c r="H44" s="23"/>
      <c r="I44" s="36"/>
      <c r="J44" s="36"/>
      <c r="K44" s="36"/>
      <c r="L44" s="109"/>
      <c r="M44" s="23"/>
      <c r="N44" s="4"/>
      <c r="O44" s="297"/>
      <c r="P44" s="109"/>
    </row>
    <row r="45" spans="1:16" ht="12.75" customHeight="1">
      <c r="A45" s="312"/>
      <c r="B45" s="23"/>
      <c r="C45" s="75" t="s">
        <v>185</v>
      </c>
      <c r="D45" s="36"/>
      <c r="E45" s="36"/>
      <c r="F45" s="23"/>
      <c r="G45" s="36"/>
      <c r="H45" s="23"/>
      <c r="I45" s="36"/>
      <c r="J45" s="36"/>
      <c r="K45" s="36"/>
      <c r="L45" s="109"/>
      <c r="M45" s="23"/>
      <c r="N45" s="4"/>
      <c r="O45" s="297"/>
      <c r="P45" s="109"/>
    </row>
    <row r="46" spans="1:16" ht="12.75" customHeight="1">
      <c r="A46" s="312"/>
      <c r="B46" s="23"/>
      <c r="C46" s="70"/>
      <c r="D46" s="36"/>
      <c r="E46" s="36"/>
      <c r="F46" s="23"/>
      <c r="G46" s="36"/>
      <c r="H46" s="23"/>
      <c r="I46" s="36"/>
      <c r="J46" s="36"/>
      <c r="K46" s="36"/>
      <c r="L46" s="109"/>
      <c r="M46" s="23"/>
      <c r="N46" s="4"/>
      <c r="O46" s="297"/>
      <c r="P46" s="109"/>
    </row>
    <row r="47" spans="1:16" ht="12.75" customHeight="1">
      <c r="A47" s="312"/>
      <c r="B47" s="23"/>
      <c r="C47" s="70"/>
      <c r="D47" s="36"/>
      <c r="E47" s="36"/>
      <c r="F47" s="23"/>
      <c r="G47" s="36"/>
      <c r="H47" s="23"/>
      <c r="I47" s="36"/>
      <c r="J47" s="36"/>
      <c r="K47" s="36"/>
      <c r="L47" s="109"/>
      <c r="M47" s="23"/>
      <c r="N47" s="4"/>
      <c r="O47" s="297"/>
      <c r="P47" s="109"/>
    </row>
    <row r="48" spans="1:16" ht="12.75" customHeight="1">
      <c r="A48" s="312"/>
      <c r="B48" s="21" t="s">
        <v>420</v>
      </c>
      <c r="C48" s="76" t="s">
        <v>441</v>
      </c>
      <c r="D48" s="4" t="str">
        <f>VLOOKUP(C48,ratings,8,0)</f>
        <v>AA</v>
      </c>
      <c r="E48" s="4" t="str">
        <f>VLOOKUP($C48,ratings,10,FALSE)</f>
        <v>F1+</v>
      </c>
      <c r="F48" s="4" t="str">
        <f>VLOOKUP($C48,ratings,11,FALSE)</f>
        <v>STABLE</v>
      </c>
      <c r="G48" s="4" t="str">
        <f>VLOOKUP($C48,ratings,3,FALSE)</f>
        <v>Aa2</v>
      </c>
      <c r="H48" s="4" t="str">
        <f>VLOOKUP($C48,ratings,5,FALSE)</f>
        <v>P-1</v>
      </c>
      <c r="I48" s="4" t="str">
        <f>VLOOKUP($C48,ratings,6,FALSE)</f>
        <v>STABLE</v>
      </c>
      <c r="J48" s="4" t="str">
        <f>VLOOKUP($C48,ratings,13,FALSE)</f>
        <v>AAH</v>
      </c>
      <c r="K48" s="4" t="str">
        <f>VLOOKUP($C48,ratings,15,FALSE)</f>
        <v>R-1H</v>
      </c>
      <c r="L48" s="4" t="str">
        <f>VLOOKUP($C48,ratings,16,FALSE)</f>
        <v>STABLE</v>
      </c>
      <c r="M48" s="23"/>
      <c r="N48" s="4" t="s">
        <v>201</v>
      </c>
      <c r="O48" s="297"/>
      <c r="P48" s="109"/>
    </row>
    <row r="49" spans="1:16" ht="12.75" customHeight="1">
      <c r="A49" s="312"/>
      <c r="B49" s="23"/>
      <c r="C49" s="71" t="s">
        <v>426</v>
      </c>
      <c r="D49" s="36"/>
      <c r="E49" s="36"/>
      <c r="F49" s="23"/>
      <c r="G49" s="36"/>
      <c r="H49" s="23"/>
      <c r="I49" s="36"/>
      <c r="J49" s="36"/>
      <c r="K49" s="36"/>
      <c r="L49" s="109"/>
      <c r="M49" s="23"/>
      <c r="N49" s="4"/>
      <c r="O49" s="297"/>
      <c r="P49" s="109"/>
    </row>
    <row r="50" spans="1:16" ht="12.75" customHeight="1">
      <c r="A50" s="312"/>
      <c r="B50" s="23"/>
      <c r="C50" s="71" t="s">
        <v>428</v>
      </c>
      <c r="D50" s="36"/>
      <c r="E50" s="36"/>
      <c r="F50" s="23"/>
      <c r="G50" s="36"/>
      <c r="H50" s="23"/>
      <c r="I50" s="36"/>
      <c r="J50" s="36"/>
      <c r="K50" s="36"/>
      <c r="L50" s="109"/>
      <c r="M50" s="23"/>
      <c r="N50" s="4"/>
      <c r="O50" s="297"/>
      <c r="P50" s="109"/>
    </row>
    <row r="51" spans="1:16" ht="12.75" customHeight="1">
      <c r="A51" s="312"/>
      <c r="B51" s="23"/>
      <c r="C51" s="71" t="s">
        <v>196</v>
      </c>
      <c r="D51" s="36"/>
      <c r="E51" s="36"/>
      <c r="F51" s="23"/>
      <c r="G51" s="36"/>
      <c r="H51" s="23"/>
      <c r="I51" s="36"/>
      <c r="J51" s="36"/>
      <c r="K51" s="36"/>
      <c r="L51" s="109"/>
      <c r="M51" s="23"/>
      <c r="N51" s="4"/>
      <c r="O51" s="297"/>
      <c r="P51" s="109"/>
    </row>
    <row r="52" spans="1:16" ht="12.75" customHeight="1">
      <c r="A52" s="312"/>
      <c r="B52" s="23"/>
      <c r="C52" s="68"/>
      <c r="D52" s="36"/>
      <c r="E52" s="36"/>
      <c r="F52" s="23"/>
      <c r="G52" s="36"/>
      <c r="H52" s="23"/>
      <c r="I52" s="36"/>
      <c r="J52" s="36"/>
      <c r="K52" s="36"/>
      <c r="L52" s="109"/>
      <c r="M52" s="23"/>
      <c r="N52" s="4"/>
      <c r="O52" s="297"/>
      <c r="P52" s="109"/>
    </row>
    <row r="53" spans="1:16" ht="12.75" customHeight="1">
      <c r="A53" s="312"/>
      <c r="B53" s="23"/>
      <c r="C53" s="68"/>
      <c r="D53" s="36"/>
      <c r="E53" s="36"/>
      <c r="F53" s="23"/>
      <c r="G53" s="36"/>
      <c r="H53" s="23"/>
      <c r="I53" s="36"/>
      <c r="J53" s="36"/>
      <c r="K53" s="36"/>
      <c r="L53" s="109"/>
      <c r="M53" s="23"/>
      <c r="N53" s="4"/>
      <c r="O53" s="297"/>
      <c r="P53" s="109"/>
    </row>
    <row r="54" spans="1:16" ht="12.75" customHeight="1">
      <c r="A54" s="312"/>
      <c r="B54" s="34" t="s">
        <v>258</v>
      </c>
      <c r="C54" s="76" t="s">
        <v>576</v>
      </c>
      <c r="D54" s="4" t="str">
        <f>VLOOKUP(C54,ratings,8,0)</f>
        <v>AA-</v>
      </c>
      <c r="E54" s="4" t="str">
        <f>VLOOKUP($C54,ratings,10,FALSE)</f>
        <v>F1+</v>
      </c>
      <c r="F54" s="4" t="str">
        <f>VLOOKUP($C54,ratings,11,FALSE)</f>
        <v>STABLE</v>
      </c>
      <c r="G54" s="4" t="str">
        <f>VLOOKUP($C54,ratings,3,FALSE)</f>
        <v>Aa2</v>
      </c>
      <c r="H54" s="4" t="str">
        <f>VLOOKUP($C54,ratings,5,FALSE)</f>
        <v>P-1</v>
      </c>
      <c r="I54" s="4" t="str">
        <f>VLOOKUP($C54,ratings,6,FALSE)</f>
        <v>STABLE</v>
      </c>
      <c r="J54" s="4" t="str">
        <f>VLOOKUP($C54,ratings,13,FALSE)</f>
        <v>AAL</v>
      </c>
      <c r="K54" s="4" t="str">
        <f>VLOOKUP($C54,ratings,15,FALSE)</f>
        <v>R-1M</v>
      </c>
      <c r="L54" s="4" t="str">
        <f>VLOOKUP($C54,ratings,16,FALSE)</f>
        <v>STABLE</v>
      </c>
      <c r="M54" s="23"/>
      <c r="N54" s="4" t="s">
        <v>201</v>
      </c>
      <c r="O54" s="297"/>
      <c r="P54" s="109"/>
    </row>
    <row r="55" spans="1:16" ht="12.75" customHeight="1">
      <c r="A55" s="312"/>
      <c r="B55" s="23"/>
      <c r="C55" s="75" t="s">
        <v>762</v>
      </c>
      <c r="D55" s="36"/>
      <c r="E55" s="36"/>
      <c r="F55" s="36"/>
      <c r="G55" s="36"/>
      <c r="H55" s="36"/>
      <c r="I55" s="36"/>
      <c r="J55" s="36"/>
      <c r="K55" s="36"/>
      <c r="L55" s="109"/>
      <c r="M55" s="23"/>
      <c r="N55" s="4"/>
      <c r="O55" s="23"/>
      <c r="P55" s="109"/>
    </row>
    <row r="56" spans="1:16" ht="12.75" customHeight="1">
      <c r="A56" s="312"/>
      <c r="C56" s="75" t="s">
        <v>777</v>
      </c>
      <c r="D56" s="36"/>
      <c r="E56" s="36"/>
      <c r="F56" s="23"/>
      <c r="G56" s="36"/>
      <c r="H56" s="23"/>
      <c r="I56" s="36"/>
      <c r="J56" s="36"/>
      <c r="K56" s="36"/>
      <c r="L56" s="109"/>
      <c r="M56" s="23"/>
      <c r="N56" s="4"/>
      <c r="O56" s="23"/>
      <c r="P56" s="109"/>
    </row>
    <row r="57" spans="1:16" ht="12.75" customHeight="1">
      <c r="A57" s="312"/>
      <c r="B57" s="23"/>
      <c r="C57" s="75" t="s">
        <v>196</v>
      </c>
      <c r="D57" s="36"/>
      <c r="E57" s="36"/>
      <c r="F57" s="23"/>
      <c r="G57" s="36"/>
      <c r="H57" s="23"/>
      <c r="I57" s="36"/>
      <c r="J57" s="36"/>
      <c r="K57" s="36"/>
      <c r="L57" s="109"/>
      <c r="M57" s="23"/>
      <c r="N57" s="4"/>
      <c r="O57" s="23"/>
      <c r="P57" s="109"/>
    </row>
    <row r="58" spans="1:16" ht="12.75" customHeight="1">
      <c r="A58" s="312"/>
      <c r="B58" s="23"/>
      <c r="C58" s="75"/>
      <c r="D58" s="36"/>
      <c r="E58" s="36"/>
      <c r="F58" s="23"/>
      <c r="G58" s="36"/>
      <c r="H58" s="23"/>
      <c r="I58" s="36"/>
      <c r="J58" s="36"/>
      <c r="K58" s="36"/>
      <c r="L58" s="109"/>
      <c r="M58" s="23"/>
      <c r="N58" s="4"/>
      <c r="O58" s="23"/>
      <c r="P58" s="109"/>
    </row>
    <row r="59" spans="1:16" ht="12.75" customHeight="1">
      <c r="A59" s="312"/>
      <c r="B59" s="23"/>
      <c r="C59" s="75"/>
      <c r="D59" s="36"/>
      <c r="E59" s="36"/>
      <c r="F59" s="23"/>
      <c r="G59" s="36"/>
      <c r="H59" s="23"/>
      <c r="I59" s="36"/>
      <c r="J59" s="36"/>
      <c r="K59" s="36"/>
      <c r="L59" s="109"/>
      <c r="M59" s="23"/>
      <c r="N59" s="4"/>
      <c r="O59" s="23"/>
      <c r="P59" s="109"/>
    </row>
    <row r="60" spans="1:16" ht="12.75" customHeight="1">
      <c r="A60" s="312"/>
      <c r="B60" s="23"/>
      <c r="C60" s="75"/>
      <c r="D60" s="36"/>
      <c r="E60" s="36"/>
      <c r="F60" s="23"/>
      <c r="G60" s="36"/>
      <c r="H60" s="23"/>
      <c r="I60" s="36"/>
      <c r="J60" s="36"/>
      <c r="K60" s="36"/>
      <c r="L60" s="109"/>
      <c r="M60" s="23"/>
      <c r="N60" s="4"/>
      <c r="O60" s="23"/>
      <c r="P60" s="109"/>
    </row>
    <row r="61" spans="1:16" ht="12.75" customHeight="1">
      <c r="A61" s="312"/>
      <c r="B61" s="22" t="s">
        <v>187</v>
      </c>
      <c r="C61" s="74" t="s">
        <v>414</v>
      </c>
      <c r="D61" s="4" t="str">
        <f>VLOOKUP(C61,ratings,8,0)</f>
        <v>-</v>
      </c>
      <c r="E61" s="4" t="str">
        <f>VLOOKUP($C61,ratings,10,FALSE)</f>
        <v>-</v>
      </c>
      <c r="F61" s="4" t="str">
        <f>VLOOKUP($C61,ratings,11,FALSE)</f>
        <v>-</v>
      </c>
      <c r="G61" s="4" t="str">
        <f>VLOOKUP($C61,ratings,3,FALSE)</f>
        <v>-</v>
      </c>
      <c r="H61" s="4" t="str">
        <f>VLOOKUP($C61,ratings,5,FALSE)</f>
        <v>-</v>
      </c>
      <c r="I61" s="4" t="str">
        <f>VLOOKUP($C61,ratings,6,FALSE)</f>
        <v>-</v>
      </c>
      <c r="J61" s="4" t="str">
        <f>VLOOKUP($C61,ratings,13,FALSE)</f>
        <v>-</v>
      </c>
      <c r="K61" s="4" t="str">
        <f>VLOOKUP($C61,ratings,15,FALSE)</f>
        <v>-</v>
      </c>
      <c r="L61" s="4" t="str">
        <f>VLOOKUP($C61,ratings,16,FALSE)</f>
        <v>-</v>
      </c>
      <c r="M61" s="23"/>
      <c r="N61" s="4" t="s">
        <v>201</v>
      </c>
      <c r="O61" s="23"/>
      <c r="P61" s="109"/>
    </row>
    <row r="62" spans="1:16" ht="12.75" customHeight="1">
      <c r="A62" s="312"/>
      <c r="B62" s="23"/>
      <c r="C62" s="75" t="s">
        <v>552</v>
      </c>
      <c r="D62" s="36"/>
      <c r="E62" s="36"/>
      <c r="F62" s="23"/>
      <c r="G62" s="36"/>
      <c r="H62" s="23"/>
      <c r="I62" s="36"/>
      <c r="J62" s="36"/>
      <c r="K62" s="36"/>
      <c r="L62" s="109"/>
      <c r="M62" s="23"/>
      <c r="N62" s="4"/>
      <c r="O62" s="23"/>
      <c r="P62" s="109"/>
    </row>
    <row r="63" spans="1:16" ht="12.75" customHeight="1">
      <c r="A63" s="312"/>
      <c r="B63" s="23"/>
      <c r="C63" s="75" t="s">
        <v>553</v>
      </c>
      <c r="D63" s="36"/>
      <c r="E63" s="36"/>
      <c r="F63" s="23"/>
      <c r="G63" s="36"/>
      <c r="H63" s="23"/>
      <c r="I63" s="36"/>
      <c r="J63" s="36"/>
      <c r="K63" s="36"/>
      <c r="L63" s="109"/>
      <c r="M63" s="23"/>
      <c r="N63" s="4"/>
      <c r="O63" s="23"/>
      <c r="P63" s="109"/>
    </row>
    <row r="64" spans="1:16" ht="12.75" customHeight="1">
      <c r="A64" s="312"/>
      <c r="B64" s="23"/>
      <c r="C64" s="75" t="s">
        <v>415</v>
      </c>
      <c r="D64" s="36"/>
      <c r="E64" s="36"/>
      <c r="F64" s="23"/>
      <c r="G64" s="36"/>
      <c r="H64" s="23"/>
      <c r="I64" s="36"/>
      <c r="J64" s="36"/>
      <c r="K64" s="36"/>
      <c r="L64" s="109"/>
      <c r="M64" s="23"/>
      <c r="N64" s="4"/>
      <c r="O64" s="23"/>
      <c r="P64" s="109"/>
    </row>
    <row r="65" spans="1:16" ht="12.75" customHeight="1">
      <c r="A65" s="312"/>
      <c r="B65" s="23"/>
      <c r="C65" s="75"/>
      <c r="D65" s="36"/>
      <c r="E65" s="36"/>
      <c r="F65" s="23"/>
      <c r="G65" s="36"/>
      <c r="H65" s="23"/>
      <c r="I65" s="36"/>
      <c r="J65" s="36"/>
      <c r="K65" s="36"/>
      <c r="L65" s="109"/>
      <c r="M65" s="23"/>
      <c r="N65" s="4"/>
      <c r="O65" s="23"/>
      <c r="P65" s="109"/>
    </row>
    <row r="66" spans="1:16" ht="12.75" customHeight="1">
      <c r="A66" s="312"/>
      <c r="B66" s="23"/>
      <c r="C66" s="75"/>
      <c r="D66" s="36"/>
      <c r="E66" s="36"/>
      <c r="F66" s="23"/>
      <c r="G66" s="36"/>
      <c r="H66" s="23"/>
      <c r="I66" s="36"/>
      <c r="J66" s="36"/>
      <c r="K66" s="36"/>
      <c r="L66" s="109"/>
      <c r="M66" s="23"/>
      <c r="N66" s="4"/>
      <c r="O66" s="23"/>
      <c r="P66" s="109"/>
    </row>
    <row r="67" spans="1:16" ht="12.75" customHeight="1">
      <c r="A67" s="312"/>
      <c r="B67" s="23"/>
      <c r="C67" s="75"/>
      <c r="D67" s="36"/>
      <c r="E67" s="36"/>
      <c r="F67" s="23"/>
      <c r="G67" s="36"/>
      <c r="H67" s="23"/>
      <c r="I67" s="36"/>
      <c r="J67" s="36"/>
      <c r="K67" s="36"/>
      <c r="L67" s="109"/>
      <c r="M67" s="23"/>
      <c r="N67" s="4"/>
      <c r="O67" s="23"/>
      <c r="P67" s="109"/>
    </row>
    <row r="68" spans="1:16" ht="12.75" customHeight="1">
      <c r="A68" s="312"/>
      <c r="B68" s="23"/>
      <c r="C68" s="23"/>
      <c r="D68" s="37"/>
      <c r="E68" s="37"/>
      <c r="F68" s="38"/>
      <c r="G68" s="37"/>
      <c r="H68" s="38"/>
      <c r="I68" s="37"/>
      <c r="J68" s="37"/>
      <c r="K68" s="37"/>
      <c r="L68" s="110"/>
      <c r="M68" s="109"/>
      <c r="N68" s="39"/>
      <c r="O68" s="23"/>
      <c r="P68" s="109"/>
    </row>
    <row r="69" spans="1:16" ht="12.75" customHeight="1">
      <c r="A69" s="312"/>
      <c r="B69" s="23"/>
      <c r="C69" s="23"/>
      <c r="D69" s="31"/>
      <c r="E69" s="31"/>
      <c r="F69" s="31"/>
      <c r="G69" s="31"/>
      <c r="H69" s="31"/>
      <c r="I69" s="31"/>
      <c r="J69" s="31"/>
      <c r="K69" s="31"/>
      <c r="L69" s="31"/>
      <c r="M69" s="31"/>
      <c r="N69" s="31"/>
      <c r="O69" s="31"/>
      <c r="P69" s="109"/>
    </row>
    <row r="70" spans="1:16" ht="12.75" customHeight="1">
      <c r="A70" s="312"/>
      <c r="B70" s="23"/>
      <c r="C70" s="23"/>
      <c r="D70" s="31"/>
      <c r="E70" s="31"/>
      <c r="F70" s="31"/>
      <c r="G70" s="31"/>
      <c r="H70" s="31"/>
      <c r="I70" s="31"/>
      <c r="J70" s="31"/>
      <c r="K70" s="31"/>
      <c r="L70" s="31"/>
      <c r="M70" s="31"/>
      <c r="N70" s="31"/>
      <c r="O70" s="31"/>
      <c r="P70" s="109"/>
    </row>
    <row r="71" spans="1:16" ht="12.75" customHeight="1">
      <c r="A71" s="312"/>
      <c r="B71" s="34" t="s">
        <v>188</v>
      </c>
      <c r="C71" s="72" t="s">
        <v>431</v>
      </c>
      <c r="D71" s="71"/>
      <c r="E71" s="72" t="s">
        <v>410</v>
      </c>
      <c r="F71" s="71"/>
      <c r="G71" s="71"/>
      <c r="H71" s="23"/>
      <c r="J71" s="112" t="s">
        <v>577</v>
      </c>
      <c r="K71" s="22"/>
      <c r="L71" s="22"/>
      <c r="M71" s="31"/>
      <c r="N71" s="31"/>
      <c r="O71" s="31"/>
      <c r="P71" s="109"/>
    </row>
    <row r="72" spans="1:16" ht="12.75" customHeight="1">
      <c r="A72" s="312"/>
      <c r="B72" s="23"/>
      <c r="C72" s="71" t="s">
        <v>432</v>
      </c>
      <c r="D72" s="71"/>
      <c r="E72" s="71" t="s">
        <v>434</v>
      </c>
      <c r="F72" s="71"/>
      <c r="G72" s="71"/>
      <c r="H72" s="71"/>
      <c r="J72" s="381" t="s">
        <v>578</v>
      </c>
      <c r="K72" s="71"/>
      <c r="L72" s="71"/>
      <c r="M72" s="31"/>
      <c r="N72" s="31"/>
      <c r="O72" s="31"/>
      <c r="P72" s="109"/>
    </row>
    <row r="73" spans="1:16" ht="12.75" customHeight="1">
      <c r="A73" s="312"/>
      <c r="B73" s="23"/>
      <c r="C73" s="71" t="s">
        <v>433</v>
      </c>
      <c r="D73" s="71"/>
      <c r="E73" s="71" t="s">
        <v>435</v>
      </c>
      <c r="F73" s="71"/>
      <c r="G73" s="71"/>
      <c r="H73" s="71"/>
      <c r="J73" s="381" t="s">
        <v>579</v>
      </c>
      <c r="K73" s="71"/>
      <c r="L73" s="71"/>
      <c r="M73" s="31"/>
      <c r="N73" s="31"/>
      <c r="O73" s="31"/>
      <c r="P73" s="109"/>
    </row>
    <row r="74" spans="1:16" s="31" customFormat="1" ht="12.75" customHeight="1">
      <c r="A74" s="266"/>
      <c r="B74" s="23"/>
      <c r="C74" s="71" t="s">
        <v>196</v>
      </c>
      <c r="D74" s="71"/>
      <c r="E74" s="71" t="s">
        <v>257</v>
      </c>
      <c r="F74" s="71"/>
      <c r="G74" s="71"/>
      <c r="H74" s="71"/>
      <c r="J74" s="381" t="s">
        <v>580</v>
      </c>
      <c r="K74" s="71"/>
      <c r="L74" s="71"/>
      <c r="P74" s="273"/>
    </row>
    <row r="75" spans="1:16" s="31" customFormat="1" ht="12.75" customHeight="1">
      <c r="A75" s="266"/>
      <c r="B75" s="23"/>
      <c r="C75" s="71"/>
      <c r="D75" s="71"/>
      <c r="E75" s="71"/>
      <c r="F75" s="71"/>
      <c r="G75" s="71"/>
      <c r="H75" s="71"/>
      <c r="J75" s="381" t="s">
        <v>581</v>
      </c>
      <c r="K75" s="71"/>
      <c r="L75" s="71"/>
      <c r="P75" s="273"/>
    </row>
    <row r="76" spans="1:16" s="23" customFormat="1" ht="12.75" customHeight="1">
      <c r="A76" s="312"/>
      <c r="P76" s="109"/>
    </row>
    <row r="77" spans="1:16" s="23" customFormat="1" ht="12.75" customHeight="1">
      <c r="A77" s="372"/>
      <c r="B77" s="54" t="str">
        <f>VLOOKUP("RatingDate",ratings,17,0)</f>
        <v>Ratings as of 31.10.2025, data source: Bloomberg</v>
      </c>
      <c r="C77" s="113"/>
      <c r="D77" s="40"/>
      <c r="E77" s="40"/>
      <c r="F77" s="40"/>
      <c r="G77" s="40"/>
      <c r="H77" s="40"/>
      <c r="I77" s="40"/>
      <c r="J77" s="40"/>
      <c r="K77" s="40"/>
      <c r="L77" s="40"/>
      <c r="M77" s="40"/>
      <c r="N77" s="40"/>
      <c r="O77" s="40"/>
      <c r="P77" s="110"/>
    </row>
    <row r="78" spans="1:16" s="23" customFormat="1" ht="15.5">
      <c r="C78" s="12"/>
      <c r="D78" s="26"/>
      <c r="E78" s="26"/>
      <c r="F78" s="26"/>
      <c r="G78" s="26"/>
      <c r="H78" s="26"/>
      <c r="I78" s="26"/>
      <c r="J78" s="26"/>
      <c r="K78" s="26"/>
      <c r="L78" s="26"/>
      <c r="M78" s="26"/>
      <c r="N78" s="26"/>
      <c r="O78" s="26"/>
    </row>
    <row r="79" spans="1:16" s="23" customFormat="1" ht="15.5">
      <c r="C79" s="12"/>
      <c r="D79" s="26"/>
      <c r="E79" s="26"/>
      <c r="F79" s="26"/>
      <c r="G79" s="26"/>
      <c r="H79" s="26"/>
      <c r="I79" s="26"/>
      <c r="J79" s="26"/>
      <c r="K79" s="26"/>
      <c r="L79" s="26"/>
      <c r="M79" s="26"/>
      <c r="N79" s="26"/>
      <c r="O79" s="26"/>
    </row>
    <row r="80" spans="1:16" s="23" customFormat="1" ht="15.5">
      <c r="C80" s="12"/>
      <c r="D80" s="26"/>
      <c r="E80" s="26"/>
      <c r="F80" s="26"/>
      <c r="G80" s="26"/>
      <c r="H80" s="26"/>
      <c r="I80" s="26"/>
      <c r="J80" s="26"/>
      <c r="K80" s="26"/>
      <c r="L80" s="26"/>
      <c r="M80" s="26"/>
      <c r="N80" s="26"/>
      <c r="O80" s="26"/>
    </row>
    <row r="81" spans="2:14" s="23" customFormat="1" ht="15.5">
      <c r="C81" s="382"/>
      <c r="D81" s="41"/>
      <c r="E81" s="41"/>
      <c r="F81" s="41"/>
      <c r="G81" s="8"/>
      <c r="H81" s="8"/>
      <c r="I81" s="8"/>
      <c r="J81" s="8"/>
      <c r="K81" s="8"/>
      <c r="L81" s="8"/>
      <c r="M81" s="8"/>
      <c r="N81" s="297"/>
    </row>
    <row r="82" spans="2:14" s="23" customFormat="1" ht="15.5">
      <c r="C82" s="382"/>
      <c r="D82" s="41"/>
      <c r="E82" s="41"/>
      <c r="F82" s="41"/>
      <c r="G82" s="8"/>
      <c r="H82" s="8"/>
      <c r="I82" s="8"/>
      <c r="J82" s="8"/>
      <c r="K82" s="8"/>
      <c r="L82" s="8"/>
      <c r="M82" s="8"/>
    </row>
    <row r="83" spans="2:14" s="23" customFormat="1" ht="15.5">
      <c r="D83" s="42"/>
      <c r="H83" s="22"/>
      <c r="M83" s="8"/>
    </row>
    <row r="84" spans="2:14" s="23" customFormat="1" ht="15.5">
      <c r="M84" s="8"/>
    </row>
    <row r="85" spans="2:14" s="23" customFormat="1" ht="15.5">
      <c r="B85" s="31"/>
      <c r="E85" s="31"/>
      <c r="G85" s="31"/>
      <c r="M85" s="8"/>
      <c r="N85" s="31"/>
    </row>
    <row r="86" spans="2:14" s="23" customFormat="1" ht="15.5">
      <c r="B86" s="31"/>
      <c r="E86" s="31"/>
      <c r="G86" s="31"/>
      <c r="M86" s="8"/>
      <c r="N86" s="31"/>
    </row>
    <row r="87" spans="2:14" s="23" customFormat="1" ht="15.5">
      <c r="M87" s="8"/>
    </row>
    <row r="88" spans="2:14" s="23" customFormat="1" ht="15.5">
      <c r="C88" s="41"/>
      <c r="D88" s="41"/>
      <c r="E88" s="41"/>
      <c r="F88" s="41"/>
      <c r="G88" s="8"/>
      <c r="H88" s="8"/>
      <c r="I88" s="8"/>
      <c r="J88" s="8"/>
      <c r="K88" s="8"/>
      <c r="L88" s="8"/>
      <c r="M88" s="8"/>
    </row>
    <row r="89" spans="2:14" s="23" customFormat="1" ht="14">
      <c r="B89" s="31"/>
      <c r="C89" s="31"/>
      <c r="D89" s="233"/>
      <c r="E89" s="261"/>
      <c r="F89" s="348"/>
      <c r="G89" s="348"/>
      <c r="H89" s="348"/>
      <c r="I89" s="306"/>
      <c r="J89" s="306"/>
      <c r="K89" s="306"/>
      <c r="L89" s="306"/>
    </row>
    <row r="90" spans="2:14" s="23" customFormat="1" ht="14">
      <c r="B90" s="230"/>
      <c r="C90" s="260"/>
      <c r="D90" s="349"/>
      <c r="E90" s="261"/>
      <c r="F90" s="348"/>
      <c r="G90" s="348"/>
      <c r="H90" s="348"/>
      <c r="I90" s="306"/>
      <c r="J90" s="306"/>
      <c r="K90" s="306"/>
      <c r="L90" s="306"/>
    </row>
    <row r="91" spans="2:14" s="23" customFormat="1" ht="14">
      <c r="B91" s="350"/>
      <c r="C91" s="260"/>
      <c r="D91" s="348"/>
      <c r="E91" s="261"/>
      <c r="F91" s="348"/>
      <c r="G91" s="348"/>
      <c r="H91" s="348"/>
      <c r="I91" s="306"/>
      <c r="J91" s="306"/>
      <c r="K91" s="306"/>
      <c r="L91" s="306"/>
    </row>
    <row r="92" spans="2:14" s="23" customFormat="1">
      <c r="C92" s="260"/>
      <c r="I92" s="306"/>
      <c r="J92" s="306"/>
      <c r="K92" s="306"/>
      <c r="L92" s="306"/>
    </row>
    <row r="93" spans="2:14" s="23" customFormat="1">
      <c r="I93" s="306"/>
      <c r="J93" s="306"/>
      <c r="K93" s="306"/>
      <c r="L93" s="306"/>
    </row>
    <row r="94" spans="2:14" s="23" customFormat="1">
      <c r="I94" s="306"/>
      <c r="J94" s="306"/>
      <c r="K94" s="306"/>
      <c r="L94" s="306"/>
    </row>
    <row r="95" spans="2:14" s="23" customFormat="1">
      <c r="I95" s="306"/>
      <c r="J95" s="306"/>
      <c r="K95" s="306"/>
      <c r="L95" s="306"/>
    </row>
    <row r="96" spans="2:14" s="23" customFormat="1">
      <c r="I96" s="306"/>
      <c r="J96" s="306"/>
      <c r="K96" s="306"/>
      <c r="L96" s="306"/>
    </row>
    <row r="97" spans="9:12" s="23" customFormat="1">
      <c r="I97" s="306"/>
      <c r="J97" s="306"/>
      <c r="K97" s="306"/>
      <c r="L97" s="306"/>
    </row>
    <row r="98" spans="9:12" s="23" customFormat="1">
      <c r="I98" s="306"/>
      <c r="J98" s="306"/>
      <c r="K98" s="306"/>
      <c r="L98" s="306"/>
    </row>
    <row r="99" spans="9:12" s="23" customFormat="1">
      <c r="I99" s="306"/>
      <c r="J99" s="306"/>
      <c r="K99" s="306"/>
      <c r="L99" s="306"/>
    </row>
    <row r="100" spans="9:12" s="23" customFormat="1">
      <c r="I100" s="306"/>
      <c r="J100" s="306"/>
      <c r="K100" s="306"/>
      <c r="L100" s="306"/>
    </row>
    <row r="101" spans="9:12" s="23" customFormat="1">
      <c r="I101" s="306"/>
      <c r="J101" s="306"/>
      <c r="K101" s="306"/>
      <c r="L101" s="306"/>
    </row>
    <row r="102" spans="9:12" s="23" customFormat="1">
      <c r="I102" s="306"/>
      <c r="J102" s="306"/>
      <c r="K102" s="306"/>
      <c r="L102" s="306"/>
    </row>
    <row r="103" spans="9:12" s="23" customFormat="1">
      <c r="I103" s="306"/>
      <c r="J103" s="306"/>
      <c r="K103" s="306"/>
      <c r="L103" s="306"/>
    </row>
    <row r="104" spans="9:12" s="23" customFormat="1">
      <c r="I104" s="306"/>
      <c r="J104" s="306"/>
      <c r="K104" s="306"/>
      <c r="L104" s="306"/>
    </row>
    <row r="105" spans="9:12" s="23" customFormat="1">
      <c r="I105" s="306"/>
      <c r="J105" s="306"/>
      <c r="K105" s="306"/>
      <c r="L105" s="306"/>
    </row>
    <row r="106" spans="9:12" s="23" customFormat="1">
      <c r="I106" s="306"/>
      <c r="J106" s="306"/>
      <c r="K106" s="306"/>
      <c r="L106" s="306"/>
    </row>
    <row r="107" spans="9:12" s="23" customFormat="1">
      <c r="I107" s="306"/>
      <c r="J107" s="306"/>
      <c r="K107" s="306"/>
      <c r="L107" s="306"/>
    </row>
    <row r="108" spans="9:12" s="23" customFormat="1">
      <c r="I108" s="306"/>
      <c r="J108" s="306"/>
      <c r="K108" s="306"/>
      <c r="L108" s="306"/>
    </row>
    <row r="109" spans="9:12" s="23" customFormat="1">
      <c r="I109" s="306"/>
      <c r="J109" s="306"/>
      <c r="K109" s="306"/>
      <c r="L109" s="306"/>
    </row>
    <row r="110" spans="9:12" s="23" customFormat="1">
      <c r="I110" s="306"/>
      <c r="J110" s="306"/>
      <c r="K110" s="306"/>
      <c r="L110" s="306"/>
    </row>
    <row r="111" spans="9:12" s="23" customFormat="1">
      <c r="I111" s="306"/>
      <c r="J111" s="306"/>
      <c r="K111" s="306"/>
      <c r="L111" s="306"/>
    </row>
    <row r="112" spans="9:12" s="23" customFormat="1">
      <c r="I112" s="306"/>
      <c r="J112" s="306"/>
      <c r="K112" s="306"/>
      <c r="L112" s="306"/>
    </row>
    <row r="113" spans="9:12" s="23" customFormat="1">
      <c r="I113" s="306"/>
      <c r="J113" s="306"/>
      <c r="K113" s="306"/>
      <c r="L113" s="306"/>
    </row>
    <row r="114" spans="9:12" s="23" customFormat="1">
      <c r="I114" s="306"/>
      <c r="J114" s="306"/>
      <c r="K114" s="306"/>
      <c r="L114" s="306"/>
    </row>
    <row r="115" spans="9:12" s="23" customFormat="1">
      <c r="I115" s="306"/>
      <c r="J115" s="306"/>
      <c r="K115" s="306"/>
      <c r="L115" s="306"/>
    </row>
    <row r="116" spans="9:12" s="23" customFormat="1">
      <c r="I116" s="306"/>
      <c r="J116" s="306"/>
      <c r="K116" s="306"/>
      <c r="L116" s="306"/>
    </row>
    <row r="117" spans="9:12" s="23" customFormat="1">
      <c r="I117" s="306"/>
      <c r="J117" s="306"/>
      <c r="K117" s="306"/>
      <c r="L117" s="306"/>
    </row>
    <row r="118" spans="9:12" s="23" customFormat="1">
      <c r="I118" s="306"/>
      <c r="J118" s="306"/>
      <c r="K118" s="306"/>
      <c r="L118" s="306"/>
    </row>
    <row r="119" spans="9:12" s="23" customFormat="1">
      <c r="I119" s="306"/>
      <c r="J119" s="306"/>
      <c r="K119" s="306"/>
      <c r="L119" s="306"/>
    </row>
    <row r="120" spans="9:12" s="23" customFormat="1">
      <c r="I120" s="306"/>
      <c r="J120" s="306"/>
      <c r="K120" s="306"/>
      <c r="L120" s="306"/>
    </row>
    <row r="121" spans="9:12" s="23" customFormat="1">
      <c r="I121" s="306"/>
      <c r="J121" s="306"/>
      <c r="K121" s="306"/>
      <c r="L121" s="306"/>
    </row>
    <row r="122" spans="9:12" s="23" customFormat="1">
      <c r="I122" s="306"/>
      <c r="J122" s="306"/>
      <c r="K122" s="306"/>
      <c r="L122" s="306"/>
    </row>
    <row r="123" spans="9:12" s="23" customFormat="1">
      <c r="I123" s="306"/>
      <c r="J123" s="306"/>
      <c r="K123" s="306"/>
      <c r="L123" s="306"/>
    </row>
    <row r="124" spans="9:12" s="23" customFormat="1">
      <c r="I124" s="306"/>
      <c r="J124" s="306"/>
      <c r="K124" s="306"/>
      <c r="L124" s="306"/>
    </row>
    <row r="125" spans="9:12" s="23" customFormat="1">
      <c r="I125" s="306"/>
      <c r="J125" s="306"/>
      <c r="K125" s="306"/>
      <c r="L125" s="306"/>
    </row>
    <row r="126" spans="9:12" s="23" customFormat="1">
      <c r="I126" s="306"/>
      <c r="J126" s="306"/>
      <c r="K126" s="306"/>
      <c r="L126" s="306"/>
    </row>
    <row r="127" spans="9:12" s="23" customFormat="1">
      <c r="I127" s="306"/>
      <c r="J127" s="306"/>
      <c r="K127" s="306"/>
      <c r="L127" s="306"/>
    </row>
    <row r="128" spans="9:12" s="23" customFormat="1">
      <c r="I128" s="306"/>
      <c r="J128" s="306"/>
      <c r="K128" s="306"/>
      <c r="L128" s="306"/>
    </row>
    <row r="129" spans="9:12" s="23" customFormat="1">
      <c r="I129" s="306"/>
      <c r="J129" s="306"/>
      <c r="K129" s="306"/>
      <c r="L129" s="306"/>
    </row>
    <row r="130" spans="9:12" s="23" customFormat="1">
      <c r="I130" s="306"/>
      <c r="J130" s="306"/>
      <c r="K130" s="306"/>
      <c r="L130" s="306"/>
    </row>
    <row r="131" spans="9:12" s="23" customFormat="1">
      <c r="I131" s="306"/>
      <c r="J131" s="306"/>
      <c r="K131" s="306"/>
      <c r="L131" s="306"/>
    </row>
    <row r="132" spans="9:12" s="23" customFormat="1">
      <c r="I132" s="306"/>
      <c r="J132" s="306"/>
      <c r="K132" s="306"/>
      <c r="L132" s="306"/>
    </row>
    <row r="133" spans="9:12" s="23" customFormat="1">
      <c r="I133" s="306"/>
      <c r="J133" s="306"/>
      <c r="K133" s="306"/>
      <c r="L133" s="306"/>
    </row>
    <row r="134" spans="9:12" s="23" customFormat="1">
      <c r="I134" s="306"/>
      <c r="J134" s="306"/>
      <c r="K134" s="306"/>
      <c r="L134" s="306"/>
    </row>
    <row r="135" spans="9:12" s="23" customFormat="1">
      <c r="I135" s="306"/>
      <c r="J135" s="306"/>
      <c r="K135" s="306"/>
      <c r="L135" s="306"/>
    </row>
    <row r="136" spans="9:12" s="23" customFormat="1">
      <c r="I136" s="306"/>
      <c r="J136" s="306"/>
      <c r="K136" s="306"/>
      <c r="L136" s="306"/>
    </row>
    <row r="137" spans="9:12" s="23" customFormat="1">
      <c r="I137" s="306"/>
      <c r="J137" s="306"/>
      <c r="K137" s="306"/>
      <c r="L137" s="306"/>
    </row>
    <row r="138" spans="9:12" s="23" customFormat="1">
      <c r="I138" s="306"/>
      <c r="J138" s="306"/>
      <c r="K138" s="306"/>
      <c r="L138" s="306"/>
    </row>
    <row r="139" spans="9:12" s="23" customFormat="1">
      <c r="I139" s="306"/>
      <c r="J139" s="306"/>
      <c r="K139" s="306"/>
      <c r="L139" s="306"/>
    </row>
    <row r="140" spans="9:12" s="23" customFormat="1">
      <c r="I140" s="306"/>
      <c r="J140" s="306"/>
      <c r="K140" s="306"/>
      <c r="L140" s="306"/>
    </row>
    <row r="141" spans="9:12" s="23" customFormat="1">
      <c r="I141" s="306"/>
      <c r="J141" s="306"/>
      <c r="K141" s="306"/>
      <c r="L141" s="306"/>
    </row>
    <row r="142" spans="9:12" s="23" customFormat="1">
      <c r="I142" s="306"/>
      <c r="J142" s="306"/>
      <c r="K142" s="306"/>
      <c r="L142" s="306"/>
    </row>
    <row r="143" spans="9:12" s="23" customFormat="1">
      <c r="I143" s="306"/>
      <c r="J143" s="306"/>
      <c r="K143" s="306"/>
      <c r="L143" s="306"/>
    </row>
    <row r="144" spans="9:12" s="23" customFormat="1">
      <c r="I144" s="306"/>
      <c r="J144" s="306"/>
      <c r="K144" s="306"/>
      <c r="L144" s="306"/>
    </row>
    <row r="145" spans="9:12" s="23" customFormat="1">
      <c r="I145" s="306"/>
      <c r="J145" s="306"/>
      <c r="K145" s="306"/>
      <c r="L145" s="306"/>
    </row>
    <row r="146" spans="9:12" s="23" customFormat="1">
      <c r="I146" s="306"/>
      <c r="J146" s="306"/>
      <c r="K146" s="306"/>
      <c r="L146" s="306"/>
    </row>
    <row r="147" spans="9:12" s="23" customFormat="1">
      <c r="I147" s="306"/>
      <c r="J147" s="306"/>
      <c r="K147" s="306"/>
      <c r="L147" s="306"/>
    </row>
    <row r="148" spans="9:12" s="23" customFormat="1">
      <c r="I148" s="306"/>
      <c r="J148" s="306"/>
      <c r="K148" s="306"/>
      <c r="L148" s="306"/>
    </row>
    <row r="149" spans="9:12" s="23" customFormat="1">
      <c r="I149" s="306"/>
      <c r="J149" s="306"/>
      <c r="K149" s="306"/>
      <c r="L149" s="306"/>
    </row>
    <row r="150" spans="9:12" s="23" customFormat="1">
      <c r="I150" s="306"/>
      <c r="J150" s="306"/>
      <c r="K150" s="306"/>
      <c r="L150" s="306"/>
    </row>
    <row r="151" spans="9:12" s="23" customFormat="1">
      <c r="I151" s="306"/>
      <c r="J151" s="306"/>
      <c r="K151" s="306"/>
      <c r="L151" s="306"/>
    </row>
    <row r="152" spans="9:12" s="23" customFormat="1">
      <c r="I152" s="306"/>
      <c r="J152" s="306"/>
      <c r="K152" s="306"/>
      <c r="L152" s="306"/>
    </row>
    <row r="153" spans="9:12" s="23" customFormat="1">
      <c r="I153" s="306"/>
      <c r="J153" s="306"/>
      <c r="K153" s="306"/>
      <c r="L153" s="306"/>
    </row>
    <row r="154" spans="9:12" s="23" customFormat="1">
      <c r="I154" s="306"/>
      <c r="J154" s="306"/>
      <c r="K154" s="306"/>
      <c r="L154" s="306"/>
    </row>
    <row r="155" spans="9:12" s="23" customFormat="1">
      <c r="I155" s="306"/>
      <c r="J155" s="306"/>
      <c r="K155" s="306"/>
      <c r="L155" s="306"/>
    </row>
    <row r="156" spans="9:12" s="23" customFormat="1">
      <c r="I156" s="306"/>
      <c r="J156" s="306"/>
      <c r="K156" s="306"/>
      <c r="L156" s="306"/>
    </row>
    <row r="157" spans="9:12" s="23" customFormat="1">
      <c r="I157" s="306"/>
      <c r="J157" s="306"/>
      <c r="K157" s="306"/>
      <c r="L157" s="306"/>
    </row>
    <row r="158" spans="9:12" s="23" customFormat="1">
      <c r="I158" s="306"/>
      <c r="J158" s="306"/>
      <c r="K158" s="306"/>
      <c r="L158" s="306"/>
    </row>
    <row r="159" spans="9:12" s="23" customFormat="1">
      <c r="I159" s="306"/>
      <c r="J159" s="306"/>
      <c r="K159" s="306"/>
      <c r="L159" s="306"/>
    </row>
    <row r="160" spans="9:12" s="23" customFormat="1">
      <c r="I160" s="306"/>
      <c r="J160" s="306"/>
      <c r="K160" s="306"/>
      <c r="L160" s="306"/>
    </row>
    <row r="161" spans="9:12" s="23" customFormat="1">
      <c r="I161" s="306"/>
      <c r="J161" s="306"/>
      <c r="K161" s="306"/>
      <c r="L161" s="306"/>
    </row>
    <row r="162" spans="9:12" s="23" customFormat="1">
      <c r="I162" s="306"/>
      <c r="J162" s="306"/>
      <c r="K162" s="306"/>
      <c r="L162" s="306"/>
    </row>
    <row r="163" spans="9:12" s="23" customFormat="1">
      <c r="I163" s="306"/>
      <c r="J163" s="306"/>
      <c r="K163" s="306"/>
      <c r="L163" s="306"/>
    </row>
    <row r="164" spans="9:12" s="23" customFormat="1">
      <c r="I164" s="306"/>
      <c r="J164" s="306"/>
      <c r="K164" s="306"/>
      <c r="L164" s="306"/>
    </row>
    <row r="165" spans="9:12" s="23" customFormat="1">
      <c r="I165" s="306"/>
      <c r="J165" s="306"/>
      <c r="K165" s="306"/>
      <c r="L165" s="306"/>
    </row>
    <row r="166" spans="9:12" s="23" customFormat="1">
      <c r="I166" s="306"/>
      <c r="J166" s="306"/>
      <c r="K166" s="306"/>
      <c r="L166" s="306"/>
    </row>
    <row r="167" spans="9:12" s="23" customFormat="1">
      <c r="I167" s="306"/>
      <c r="J167" s="306"/>
      <c r="K167" s="306"/>
      <c r="L167" s="306"/>
    </row>
    <row r="168" spans="9:12" s="23" customFormat="1">
      <c r="I168" s="306"/>
      <c r="J168" s="306"/>
      <c r="K168" s="306"/>
      <c r="L168" s="306"/>
    </row>
    <row r="169" spans="9:12" s="23" customFormat="1">
      <c r="I169" s="306"/>
      <c r="J169" s="306"/>
      <c r="K169" s="306"/>
      <c r="L169" s="306"/>
    </row>
    <row r="170" spans="9:12" s="23" customFormat="1">
      <c r="I170" s="306"/>
      <c r="J170" s="306"/>
      <c r="K170" s="306"/>
      <c r="L170" s="306"/>
    </row>
    <row r="171" spans="9:12" s="23" customFormat="1">
      <c r="I171" s="306"/>
      <c r="J171" s="306"/>
      <c r="K171" s="306"/>
      <c r="L171" s="306"/>
    </row>
    <row r="172" spans="9:12" s="23" customFormat="1">
      <c r="I172" s="306"/>
      <c r="J172" s="306"/>
      <c r="K172" s="306"/>
      <c r="L172" s="306"/>
    </row>
    <row r="173" spans="9:12" s="23" customFormat="1">
      <c r="I173" s="306"/>
      <c r="J173" s="306"/>
      <c r="K173" s="306"/>
      <c r="L173" s="306"/>
    </row>
    <row r="174" spans="9:12" s="23" customFormat="1">
      <c r="I174" s="306"/>
      <c r="J174" s="306"/>
      <c r="K174" s="306"/>
      <c r="L174" s="306"/>
    </row>
    <row r="175" spans="9:12" s="23" customFormat="1">
      <c r="I175" s="306"/>
      <c r="J175" s="306"/>
      <c r="K175" s="306"/>
      <c r="L175" s="306"/>
    </row>
    <row r="176" spans="9:12" s="23" customFormat="1">
      <c r="I176" s="306"/>
      <c r="J176" s="306"/>
      <c r="K176" s="306"/>
      <c r="L176" s="306"/>
    </row>
    <row r="177" spans="9:12" s="23" customFormat="1">
      <c r="I177" s="306"/>
      <c r="J177" s="306"/>
      <c r="K177" s="306"/>
      <c r="L177" s="306"/>
    </row>
    <row r="178" spans="9:12" s="23" customFormat="1">
      <c r="I178" s="306"/>
      <c r="J178" s="306"/>
      <c r="K178" s="306"/>
      <c r="L178" s="306"/>
    </row>
    <row r="179" spans="9:12" s="23" customFormat="1">
      <c r="I179" s="306"/>
      <c r="J179" s="306"/>
      <c r="K179" s="306"/>
      <c r="L179" s="306"/>
    </row>
    <row r="180" spans="9:12" s="23" customFormat="1">
      <c r="I180" s="306"/>
      <c r="J180" s="306"/>
      <c r="K180" s="306"/>
      <c r="L180" s="306"/>
    </row>
    <row r="181" spans="9:12" s="23" customFormat="1">
      <c r="I181" s="306"/>
      <c r="J181" s="306"/>
      <c r="K181" s="306"/>
      <c r="L181" s="306"/>
    </row>
    <row r="182" spans="9:12" s="23" customFormat="1">
      <c r="I182" s="306"/>
      <c r="J182" s="306"/>
      <c r="K182" s="306"/>
      <c r="L182" s="306"/>
    </row>
    <row r="183" spans="9:12" s="23" customFormat="1">
      <c r="I183" s="306"/>
      <c r="J183" s="306"/>
      <c r="K183" s="306"/>
      <c r="L183" s="306"/>
    </row>
    <row r="184" spans="9:12" s="23" customFormat="1">
      <c r="I184" s="306"/>
      <c r="J184" s="306"/>
      <c r="K184" s="306"/>
      <c r="L184" s="306"/>
    </row>
    <row r="185" spans="9:12" s="23" customFormat="1">
      <c r="I185" s="306"/>
      <c r="J185" s="306"/>
      <c r="K185" s="306"/>
      <c r="L185" s="306"/>
    </row>
    <row r="186" spans="9:12" s="23" customFormat="1">
      <c r="I186" s="306"/>
      <c r="J186" s="306"/>
      <c r="K186" s="306"/>
      <c r="L186" s="306"/>
    </row>
    <row r="187" spans="9:12" s="23" customFormat="1">
      <c r="I187" s="306"/>
      <c r="J187" s="306"/>
      <c r="K187" s="306"/>
      <c r="L187" s="306"/>
    </row>
    <row r="188" spans="9:12" s="23" customFormat="1">
      <c r="I188" s="306"/>
      <c r="J188" s="306"/>
      <c r="K188" s="306"/>
      <c r="L188" s="306"/>
    </row>
    <row r="189" spans="9:12" s="23" customFormat="1">
      <c r="I189" s="306"/>
      <c r="J189" s="306"/>
      <c r="K189" s="306"/>
      <c r="L189" s="306"/>
    </row>
    <row r="190" spans="9:12" s="23" customFormat="1">
      <c r="I190" s="306"/>
      <c r="J190" s="306"/>
      <c r="K190" s="306"/>
      <c r="L190" s="306"/>
    </row>
    <row r="191" spans="9:12" s="23" customFormat="1">
      <c r="I191" s="306"/>
      <c r="J191" s="306"/>
      <c r="K191" s="306"/>
      <c r="L191" s="306"/>
    </row>
    <row r="192" spans="9:12" s="23" customFormat="1">
      <c r="I192" s="306"/>
      <c r="J192" s="306"/>
      <c r="K192" s="306"/>
      <c r="L192" s="306"/>
    </row>
    <row r="193" spans="9:12" s="23" customFormat="1">
      <c r="I193" s="306"/>
      <c r="J193" s="306"/>
      <c r="K193" s="306"/>
      <c r="L193" s="306"/>
    </row>
    <row r="194" spans="9:12" s="23" customFormat="1">
      <c r="I194" s="306"/>
      <c r="J194" s="306"/>
      <c r="K194" s="306"/>
      <c r="L194" s="306"/>
    </row>
    <row r="195" spans="9:12" s="23" customFormat="1">
      <c r="I195" s="306"/>
      <c r="J195" s="306"/>
      <c r="K195" s="306"/>
      <c r="L195" s="306"/>
    </row>
    <row r="196" spans="9:12" s="23" customFormat="1">
      <c r="I196" s="306"/>
      <c r="J196" s="306"/>
      <c r="K196" s="306"/>
      <c r="L196" s="306"/>
    </row>
    <row r="197" spans="9:12" s="23" customFormat="1">
      <c r="I197" s="306"/>
      <c r="J197" s="306"/>
      <c r="K197" s="306"/>
      <c r="L197" s="306"/>
    </row>
    <row r="198" spans="9:12" s="23" customFormat="1">
      <c r="I198" s="306"/>
      <c r="J198" s="306"/>
      <c r="K198" s="306"/>
      <c r="L198" s="306"/>
    </row>
    <row r="199" spans="9:12" s="23" customFormat="1">
      <c r="I199" s="306"/>
      <c r="J199" s="306"/>
      <c r="K199" s="306"/>
      <c r="L199" s="306"/>
    </row>
    <row r="200" spans="9:12" s="23" customFormat="1">
      <c r="I200" s="306"/>
      <c r="J200" s="306"/>
      <c r="K200" s="306"/>
      <c r="L200" s="306"/>
    </row>
    <row r="201" spans="9:12" s="23" customFormat="1">
      <c r="I201" s="306"/>
      <c r="J201" s="306"/>
      <c r="K201" s="306"/>
      <c r="L201" s="306"/>
    </row>
    <row r="202" spans="9:12" s="23" customFormat="1">
      <c r="I202" s="306"/>
      <c r="J202" s="306"/>
      <c r="K202" s="306"/>
      <c r="L202" s="306"/>
    </row>
    <row r="203" spans="9:12" s="23" customFormat="1">
      <c r="I203" s="306"/>
      <c r="J203" s="306"/>
      <c r="K203" s="306"/>
      <c r="L203" s="306"/>
    </row>
    <row r="204" spans="9:12" s="23" customFormat="1">
      <c r="I204" s="306"/>
      <c r="J204" s="306"/>
      <c r="K204" s="306"/>
      <c r="L204" s="306"/>
    </row>
    <row r="205" spans="9:12" s="23" customFormat="1">
      <c r="I205" s="306"/>
      <c r="J205" s="306"/>
      <c r="K205" s="306"/>
      <c r="L205" s="306"/>
    </row>
    <row r="206" spans="9:12" s="23" customFormat="1">
      <c r="I206" s="306"/>
      <c r="J206" s="306"/>
      <c r="K206" s="306"/>
      <c r="L206" s="306"/>
    </row>
    <row r="207" spans="9:12" s="23" customFormat="1">
      <c r="I207" s="306"/>
      <c r="J207" s="306"/>
      <c r="K207" s="306"/>
      <c r="L207" s="306"/>
    </row>
    <row r="208" spans="9:12" s="23" customFormat="1">
      <c r="I208" s="306"/>
      <c r="J208" s="306"/>
      <c r="K208" s="306"/>
      <c r="L208" s="306"/>
    </row>
    <row r="209" spans="9:12" s="23" customFormat="1">
      <c r="I209" s="306"/>
      <c r="J209" s="306"/>
      <c r="K209" s="306"/>
      <c r="L209" s="306"/>
    </row>
    <row r="210" spans="9:12" s="23" customFormat="1">
      <c r="I210" s="306"/>
      <c r="J210" s="306"/>
      <c r="K210" s="306"/>
      <c r="L210" s="306"/>
    </row>
    <row r="211" spans="9:12" s="23" customFormat="1">
      <c r="I211" s="306"/>
      <c r="J211" s="306"/>
      <c r="K211" s="306"/>
      <c r="L211" s="306"/>
    </row>
    <row r="212" spans="9:12" s="23" customFormat="1">
      <c r="I212" s="306"/>
      <c r="J212" s="306"/>
      <c r="K212" s="306"/>
      <c r="L212" s="306"/>
    </row>
    <row r="213" spans="9:12" s="23" customFormat="1">
      <c r="I213" s="306"/>
      <c r="J213" s="306"/>
      <c r="K213" s="306"/>
      <c r="L213" s="306"/>
    </row>
    <row r="214" spans="9:12" s="23" customFormat="1">
      <c r="I214" s="306"/>
      <c r="J214" s="306"/>
      <c r="K214" s="306"/>
      <c r="L214" s="306"/>
    </row>
    <row r="215" spans="9:12" s="23" customFormat="1">
      <c r="I215" s="306"/>
      <c r="J215" s="306"/>
      <c r="K215" s="306"/>
      <c r="L215" s="306"/>
    </row>
    <row r="216" spans="9:12" s="23" customFormat="1">
      <c r="I216" s="306"/>
      <c r="J216" s="306"/>
      <c r="K216" s="306"/>
      <c r="L216" s="306"/>
    </row>
    <row r="217" spans="9:12" s="23" customFormat="1">
      <c r="I217" s="306"/>
      <c r="J217" s="306"/>
      <c r="K217" s="306"/>
      <c r="L217" s="306"/>
    </row>
    <row r="218" spans="9:12" s="23" customFormat="1">
      <c r="I218" s="306"/>
      <c r="J218" s="306"/>
      <c r="K218" s="306"/>
      <c r="L218" s="306"/>
    </row>
    <row r="219" spans="9:12" s="23" customFormat="1">
      <c r="I219" s="306"/>
      <c r="J219" s="306"/>
      <c r="K219" s="306"/>
      <c r="L219" s="306"/>
    </row>
    <row r="220" spans="9:12" s="23" customFormat="1">
      <c r="I220" s="306"/>
      <c r="J220" s="306"/>
      <c r="K220" s="306"/>
      <c r="L220" s="306"/>
    </row>
    <row r="221" spans="9:12" s="23" customFormat="1">
      <c r="I221" s="306"/>
      <c r="J221" s="306"/>
      <c r="K221" s="306"/>
      <c r="L221" s="306"/>
    </row>
    <row r="222" spans="9:12" s="23" customFormat="1">
      <c r="I222" s="306"/>
      <c r="J222" s="306"/>
      <c r="K222" s="306"/>
      <c r="L222" s="306"/>
    </row>
    <row r="223" spans="9:12" s="23" customFormat="1">
      <c r="I223" s="306"/>
      <c r="J223" s="306"/>
      <c r="K223" s="306"/>
      <c r="L223" s="306"/>
    </row>
    <row r="224" spans="9:12" s="23" customFormat="1">
      <c r="I224" s="306"/>
      <c r="J224" s="306"/>
      <c r="K224" s="306"/>
      <c r="L224" s="306"/>
    </row>
    <row r="225" spans="9:12" s="23" customFormat="1">
      <c r="I225" s="306"/>
      <c r="J225" s="306"/>
      <c r="K225" s="306"/>
      <c r="L225" s="306"/>
    </row>
    <row r="226" spans="9:12" s="23" customFormat="1">
      <c r="I226" s="306"/>
      <c r="J226" s="306"/>
      <c r="K226" s="306"/>
      <c r="L226" s="306"/>
    </row>
    <row r="227" spans="9:12" s="23" customFormat="1">
      <c r="I227" s="306"/>
      <c r="J227" s="306"/>
      <c r="K227" s="306"/>
      <c r="L227" s="306"/>
    </row>
    <row r="228" spans="9:12" s="23" customFormat="1">
      <c r="I228" s="306"/>
      <c r="J228" s="306"/>
      <c r="K228" s="306"/>
      <c r="L228" s="306"/>
    </row>
    <row r="229" spans="9:12" s="23" customFormat="1">
      <c r="I229" s="306"/>
      <c r="J229" s="306"/>
      <c r="K229" s="306"/>
      <c r="L229" s="306"/>
    </row>
    <row r="230" spans="9:12" s="23" customFormat="1">
      <c r="I230" s="306"/>
      <c r="J230" s="306"/>
      <c r="K230" s="306"/>
      <c r="L230" s="306"/>
    </row>
    <row r="231" spans="9:12" s="23" customFormat="1">
      <c r="I231" s="306"/>
      <c r="J231" s="306"/>
      <c r="K231" s="306"/>
      <c r="L231" s="306"/>
    </row>
    <row r="232" spans="9:12" s="23" customFormat="1">
      <c r="I232" s="306"/>
      <c r="J232" s="306"/>
      <c r="K232" s="306"/>
      <c r="L232" s="306"/>
    </row>
    <row r="233" spans="9:12" s="23" customFormat="1">
      <c r="I233" s="306"/>
      <c r="J233" s="306"/>
      <c r="K233" s="306"/>
      <c r="L233" s="306"/>
    </row>
    <row r="234" spans="9:12" s="23" customFormat="1">
      <c r="I234" s="306"/>
      <c r="J234" s="306"/>
      <c r="K234" s="306"/>
      <c r="L234" s="306"/>
    </row>
    <row r="235" spans="9:12" s="23" customFormat="1">
      <c r="I235" s="306"/>
      <c r="J235" s="306"/>
      <c r="K235" s="306"/>
      <c r="L235" s="306"/>
    </row>
    <row r="236" spans="9:12" s="23" customFormat="1">
      <c r="I236" s="306"/>
      <c r="J236" s="306"/>
      <c r="K236" s="306"/>
      <c r="L236" s="306"/>
    </row>
    <row r="237" spans="9:12" s="23" customFormat="1">
      <c r="I237" s="306"/>
      <c r="J237" s="306"/>
      <c r="K237" s="306"/>
      <c r="L237" s="306"/>
    </row>
    <row r="238" spans="9:12" s="23" customFormat="1">
      <c r="I238" s="306"/>
      <c r="J238" s="306"/>
      <c r="K238" s="306"/>
      <c r="L238" s="306"/>
    </row>
    <row r="239" spans="9:12" s="23" customFormat="1">
      <c r="I239" s="306"/>
      <c r="J239" s="306"/>
      <c r="K239" s="306"/>
      <c r="L239" s="306"/>
    </row>
    <row r="240" spans="9:12" s="23" customFormat="1">
      <c r="I240" s="306"/>
      <c r="J240" s="306"/>
      <c r="K240" s="306"/>
      <c r="L240" s="306"/>
    </row>
    <row r="241" spans="9:12" s="23" customFormat="1">
      <c r="I241" s="306"/>
      <c r="J241" s="306"/>
      <c r="K241" s="306"/>
      <c r="L241" s="306"/>
    </row>
    <row r="242" spans="9:12" s="23" customFormat="1">
      <c r="I242" s="306"/>
      <c r="J242" s="306"/>
      <c r="K242" s="306"/>
      <c r="L242" s="306"/>
    </row>
    <row r="243" spans="9:12" s="23" customFormat="1">
      <c r="I243" s="306"/>
      <c r="J243" s="306"/>
      <c r="K243" s="306"/>
      <c r="L243" s="306"/>
    </row>
    <row r="244" spans="9:12" s="23" customFormat="1">
      <c r="I244" s="306"/>
      <c r="J244" s="306"/>
      <c r="K244" s="306"/>
      <c r="L244" s="306"/>
    </row>
    <row r="245" spans="9:12" s="23" customFormat="1">
      <c r="I245" s="306"/>
      <c r="J245" s="306"/>
      <c r="K245" s="306"/>
      <c r="L245" s="306"/>
    </row>
    <row r="246" spans="9:12" s="23" customFormat="1">
      <c r="I246" s="306"/>
      <c r="J246" s="306"/>
      <c r="K246" s="306"/>
      <c r="L246" s="306"/>
    </row>
    <row r="247" spans="9:12" s="23" customFormat="1">
      <c r="I247" s="306"/>
      <c r="J247" s="306"/>
      <c r="K247" s="306"/>
      <c r="L247" s="306"/>
    </row>
    <row r="248" spans="9:12" s="23" customFormat="1">
      <c r="I248" s="306"/>
      <c r="J248" s="306"/>
      <c r="K248" s="306"/>
      <c r="L248" s="306"/>
    </row>
    <row r="249" spans="9:12" s="23" customFormat="1">
      <c r="I249" s="306"/>
      <c r="J249" s="306"/>
      <c r="K249" s="306"/>
      <c r="L249" s="306"/>
    </row>
    <row r="250" spans="9:12" s="23" customFormat="1">
      <c r="I250" s="306"/>
      <c r="J250" s="306"/>
      <c r="K250" s="306"/>
      <c r="L250" s="306"/>
    </row>
    <row r="251" spans="9:12" s="23" customFormat="1">
      <c r="I251" s="306"/>
      <c r="J251" s="306"/>
      <c r="K251" s="306"/>
      <c r="L251" s="306"/>
    </row>
    <row r="252" spans="9:12" s="23" customFormat="1">
      <c r="I252" s="306"/>
      <c r="J252" s="306"/>
      <c r="K252" s="306"/>
      <c r="L252" s="306"/>
    </row>
    <row r="253" spans="9:12" s="23" customFormat="1">
      <c r="I253" s="306"/>
      <c r="J253" s="306"/>
      <c r="K253" s="306"/>
      <c r="L253" s="306"/>
    </row>
    <row r="254" spans="9:12" s="23" customFormat="1">
      <c r="I254" s="306"/>
      <c r="J254" s="306"/>
      <c r="K254" s="306"/>
      <c r="L254" s="306"/>
    </row>
    <row r="255" spans="9:12" s="23" customFormat="1">
      <c r="I255" s="306"/>
      <c r="J255" s="306"/>
      <c r="K255" s="306"/>
      <c r="L255" s="306"/>
    </row>
    <row r="256" spans="9:12" s="23" customFormat="1">
      <c r="I256" s="306"/>
      <c r="J256" s="306"/>
      <c r="K256" s="306"/>
      <c r="L256" s="306"/>
    </row>
    <row r="257" spans="9:12" s="23" customFormat="1">
      <c r="I257" s="306"/>
      <c r="J257" s="306"/>
      <c r="K257" s="306"/>
      <c r="L257" s="306"/>
    </row>
    <row r="258" spans="9:12" s="23" customFormat="1">
      <c r="I258" s="306"/>
      <c r="J258" s="306"/>
      <c r="K258" s="306"/>
      <c r="L258" s="306"/>
    </row>
    <row r="259" spans="9:12" s="23" customFormat="1">
      <c r="I259" s="306"/>
      <c r="J259" s="306"/>
      <c r="K259" s="306"/>
      <c r="L259" s="306"/>
    </row>
    <row r="260" spans="9:12" s="23" customFormat="1">
      <c r="I260" s="306"/>
      <c r="J260" s="306"/>
      <c r="K260" s="306"/>
      <c r="L260" s="306"/>
    </row>
    <row r="261" spans="9:12" s="23" customFormat="1">
      <c r="I261" s="306"/>
      <c r="J261" s="306"/>
      <c r="K261" s="306"/>
      <c r="L261" s="306"/>
    </row>
    <row r="262" spans="9:12" s="23" customFormat="1">
      <c r="I262" s="306"/>
      <c r="J262" s="306"/>
      <c r="K262" s="306"/>
      <c r="L262" s="306"/>
    </row>
    <row r="263" spans="9:12" s="23" customFormat="1">
      <c r="I263" s="306"/>
      <c r="J263" s="306"/>
      <c r="K263" s="306"/>
      <c r="L263" s="306"/>
    </row>
    <row r="264" spans="9:12" s="23" customFormat="1">
      <c r="I264" s="306"/>
      <c r="J264" s="306"/>
      <c r="K264" s="306"/>
      <c r="L264" s="306"/>
    </row>
    <row r="265" spans="9:12" s="23" customFormat="1">
      <c r="I265" s="306"/>
      <c r="J265" s="306"/>
      <c r="K265" s="306"/>
      <c r="L265" s="306"/>
    </row>
    <row r="266" spans="9:12" s="23" customFormat="1">
      <c r="I266" s="306"/>
      <c r="J266" s="306"/>
      <c r="K266" s="306"/>
      <c r="L266" s="306"/>
    </row>
    <row r="267" spans="9:12" s="23" customFormat="1">
      <c r="I267" s="306"/>
      <c r="J267" s="306"/>
      <c r="K267" s="306"/>
      <c r="L267" s="306"/>
    </row>
    <row r="268" spans="9:12" s="23" customFormat="1">
      <c r="I268" s="306"/>
      <c r="J268" s="306"/>
      <c r="K268" s="306"/>
      <c r="L268" s="306"/>
    </row>
    <row r="269" spans="9:12" s="23" customFormat="1">
      <c r="I269" s="306"/>
      <c r="J269" s="306"/>
      <c r="K269" s="306"/>
      <c r="L269" s="306"/>
    </row>
    <row r="270" spans="9:12" s="23" customFormat="1">
      <c r="I270" s="306"/>
      <c r="J270" s="306"/>
      <c r="K270" s="306"/>
      <c r="L270" s="306"/>
    </row>
    <row r="271" spans="9:12" s="23" customFormat="1">
      <c r="I271" s="306"/>
      <c r="J271" s="306"/>
      <c r="K271" s="306"/>
      <c r="L271" s="306"/>
    </row>
    <row r="272" spans="9:12" s="23" customFormat="1">
      <c r="I272" s="306"/>
      <c r="J272" s="306"/>
      <c r="K272" s="306"/>
      <c r="L272" s="306"/>
    </row>
    <row r="273" spans="9:12" s="23" customFormat="1">
      <c r="I273" s="306"/>
      <c r="J273" s="306"/>
      <c r="K273" s="306"/>
      <c r="L273" s="306"/>
    </row>
    <row r="274" spans="9:12" s="23" customFormat="1">
      <c r="I274" s="306"/>
      <c r="J274" s="306"/>
      <c r="K274" s="306"/>
      <c r="L274" s="306"/>
    </row>
    <row r="275" spans="9:12" s="23" customFormat="1">
      <c r="I275" s="306"/>
      <c r="J275" s="306"/>
      <c r="K275" s="306"/>
      <c r="L275" s="306"/>
    </row>
    <row r="276" spans="9:12" s="23" customFormat="1">
      <c r="I276" s="306"/>
      <c r="J276" s="306"/>
      <c r="K276" s="306"/>
      <c r="L276" s="306"/>
    </row>
    <row r="277" spans="9:12" s="23" customFormat="1">
      <c r="I277" s="306"/>
      <c r="J277" s="306"/>
      <c r="K277" s="306"/>
      <c r="L277" s="306"/>
    </row>
    <row r="278" spans="9:12" s="23" customFormat="1">
      <c r="I278" s="306"/>
      <c r="J278" s="306"/>
      <c r="K278" s="306"/>
      <c r="L278" s="306"/>
    </row>
    <row r="279" spans="9:12" s="23" customFormat="1">
      <c r="I279" s="306"/>
      <c r="J279" s="306"/>
      <c r="K279" s="306"/>
      <c r="L279" s="306"/>
    </row>
    <row r="280" spans="9:12" s="23" customFormat="1">
      <c r="I280" s="306"/>
      <c r="J280" s="306"/>
      <c r="K280" s="306"/>
      <c r="L280" s="306"/>
    </row>
    <row r="281" spans="9:12" s="23" customFormat="1">
      <c r="I281" s="306"/>
      <c r="J281" s="306"/>
      <c r="K281" s="306"/>
      <c r="L281" s="306"/>
    </row>
    <row r="282" spans="9:12" s="23" customFormat="1">
      <c r="I282" s="306"/>
      <c r="J282" s="306"/>
      <c r="K282" s="306"/>
      <c r="L282" s="306"/>
    </row>
    <row r="283" spans="9:12" s="23" customFormat="1">
      <c r="I283" s="306"/>
      <c r="J283" s="306"/>
      <c r="K283" s="306"/>
      <c r="L283" s="306"/>
    </row>
    <row r="284" spans="9:12" s="23" customFormat="1">
      <c r="I284" s="306"/>
      <c r="J284" s="306"/>
      <c r="K284" s="306"/>
      <c r="L284" s="306"/>
    </row>
    <row r="285" spans="9:12" s="23" customFormat="1">
      <c r="I285" s="306"/>
      <c r="J285" s="306"/>
      <c r="K285" s="306"/>
      <c r="L285" s="306"/>
    </row>
    <row r="286" spans="9:12" s="23" customFormat="1">
      <c r="I286" s="306"/>
      <c r="J286" s="306"/>
      <c r="K286" s="306"/>
      <c r="L286" s="306"/>
    </row>
    <row r="287" spans="9:12" s="23" customFormat="1">
      <c r="I287" s="306"/>
      <c r="J287" s="306"/>
      <c r="K287" s="306"/>
      <c r="L287" s="306"/>
    </row>
    <row r="288" spans="9:12" s="23" customFormat="1">
      <c r="I288" s="306"/>
      <c r="J288" s="306"/>
      <c r="K288" s="306"/>
      <c r="L288" s="306"/>
    </row>
    <row r="289" spans="9:12" s="23" customFormat="1">
      <c r="I289" s="306"/>
      <c r="J289" s="306"/>
      <c r="K289" s="306"/>
      <c r="L289" s="306"/>
    </row>
    <row r="290" spans="9:12" s="23" customFormat="1">
      <c r="I290" s="306"/>
      <c r="J290" s="306"/>
      <c r="K290" s="306"/>
      <c r="L290" s="306"/>
    </row>
    <row r="291" spans="9:12" s="23" customFormat="1">
      <c r="I291" s="306"/>
      <c r="J291" s="306"/>
      <c r="K291" s="306"/>
      <c r="L291" s="306"/>
    </row>
    <row r="292" spans="9:12" s="23" customFormat="1">
      <c r="I292" s="306"/>
      <c r="J292" s="306"/>
      <c r="K292" s="306"/>
      <c r="L292" s="306"/>
    </row>
    <row r="293" spans="9:12" s="23" customFormat="1">
      <c r="I293" s="306"/>
      <c r="J293" s="306"/>
      <c r="K293" s="306"/>
      <c r="L293" s="306"/>
    </row>
    <row r="294" spans="9:12" s="23" customFormat="1">
      <c r="I294" s="306"/>
      <c r="J294" s="306"/>
      <c r="K294" s="306"/>
      <c r="L294" s="306"/>
    </row>
    <row r="295" spans="9:12" s="23" customFormat="1">
      <c r="I295" s="306"/>
      <c r="J295" s="306"/>
      <c r="K295" s="306"/>
      <c r="L295" s="306"/>
    </row>
    <row r="296" spans="9:12" s="23" customFormat="1">
      <c r="I296" s="306"/>
      <c r="J296" s="306"/>
      <c r="K296" s="306"/>
      <c r="L296" s="306"/>
    </row>
    <row r="297" spans="9:12" s="23" customFormat="1">
      <c r="I297" s="306"/>
      <c r="J297" s="306"/>
      <c r="K297" s="306"/>
      <c r="L297" s="306"/>
    </row>
    <row r="298" spans="9:12" s="23" customFormat="1">
      <c r="I298" s="306"/>
      <c r="J298" s="306"/>
      <c r="K298" s="306"/>
      <c r="L298" s="306"/>
    </row>
    <row r="299" spans="9:12" s="23" customFormat="1">
      <c r="I299" s="306"/>
      <c r="J299" s="306"/>
      <c r="K299" s="306"/>
      <c r="L299" s="306"/>
    </row>
    <row r="300" spans="9:12" s="23" customFormat="1">
      <c r="I300" s="306"/>
      <c r="J300" s="306"/>
      <c r="K300" s="306"/>
      <c r="L300" s="306"/>
    </row>
    <row r="301" spans="9:12" s="23" customFormat="1">
      <c r="I301" s="306"/>
      <c r="J301" s="306"/>
      <c r="K301" s="306"/>
      <c r="L301" s="306"/>
    </row>
    <row r="302" spans="9:12" s="23" customFormat="1">
      <c r="I302" s="306"/>
      <c r="J302" s="306"/>
      <c r="K302" s="306"/>
      <c r="L302" s="306"/>
    </row>
    <row r="303" spans="9:12" s="23" customFormat="1">
      <c r="I303" s="306"/>
      <c r="J303" s="306"/>
      <c r="K303" s="306"/>
      <c r="L303" s="306"/>
    </row>
    <row r="304" spans="9:12" s="23" customFormat="1">
      <c r="I304" s="306"/>
      <c r="J304" s="306"/>
      <c r="K304" s="306"/>
      <c r="L304" s="306"/>
    </row>
    <row r="305" spans="9:12" s="23" customFormat="1">
      <c r="I305" s="306"/>
      <c r="J305" s="306"/>
      <c r="K305" s="306"/>
      <c r="L305" s="306"/>
    </row>
    <row r="306" spans="9:12" s="23" customFormat="1">
      <c r="I306" s="306"/>
      <c r="J306" s="306"/>
      <c r="K306" s="306"/>
      <c r="L306" s="306"/>
    </row>
    <row r="307" spans="9:12" s="23" customFormat="1">
      <c r="I307" s="306"/>
      <c r="J307" s="306"/>
      <c r="K307" s="306"/>
      <c r="L307" s="306"/>
    </row>
    <row r="308" spans="9:12" s="23" customFormat="1">
      <c r="I308" s="306"/>
      <c r="J308" s="306"/>
      <c r="K308" s="306"/>
      <c r="L308" s="306"/>
    </row>
    <row r="309" spans="9:12" s="23" customFormat="1">
      <c r="I309" s="306"/>
      <c r="J309" s="306"/>
      <c r="K309" s="306"/>
      <c r="L309" s="306"/>
    </row>
    <row r="310" spans="9:12" s="23" customFormat="1">
      <c r="I310" s="306"/>
      <c r="J310" s="306"/>
      <c r="K310" s="306"/>
      <c r="L310" s="306"/>
    </row>
    <row r="311" spans="9:12" s="23" customFormat="1"/>
    <row r="312" spans="9:12" s="23" customFormat="1"/>
    <row r="313" spans="9:12" s="23" customFormat="1"/>
    <row r="314" spans="9:12" s="23" customFormat="1"/>
    <row r="315" spans="9:12" s="23" customFormat="1"/>
    <row r="316" spans="9:12" s="23" customFormat="1"/>
    <row r="317" spans="9:12" s="23" customFormat="1"/>
    <row r="318" spans="9:12" s="23" customFormat="1"/>
    <row r="319" spans="9:12" s="23" customFormat="1"/>
    <row r="320" spans="9:12"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23" customFormat="1"/>
    <row r="2242" s="23" customFormat="1"/>
    <row r="2243" s="23" customFormat="1"/>
    <row r="2244" s="23" customFormat="1"/>
    <row r="2245" s="23" customFormat="1"/>
    <row r="2246" s="23" customFormat="1"/>
    <row r="2247" s="23" customFormat="1"/>
    <row r="2248" s="23" customFormat="1"/>
    <row r="2249" s="23" customFormat="1"/>
    <row r="2250" s="23" customFormat="1"/>
  </sheetData>
  <mergeCells count="9">
    <mergeCell ref="J12:L12"/>
    <mergeCell ref="D12:F12"/>
    <mergeCell ref="G12:I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65" customWidth="1"/>
    <col min="2" max="2" width="34.54296875" style="265" customWidth="1"/>
    <col min="3" max="10" width="15.81640625" style="265" customWidth="1"/>
    <col min="11" max="11" width="1.1796875" style="265" customWidth="1"/>
    <col min="12" max="12" width="3.1796875" style="265" customWidth="1"/>
    <col min="13" max="16384" width="9.1796875" style="265"/>
  </cols>
  <sheetData>
    <row r="1" spans="1:16" ht="6" customHeight="1">
      <c r="A1" s="262"/>
      <c r="B1" s="263"/>
      <c r="C1" s="263"/>
      <c r="D1" s="263"/>
      <c r="E1" s="263"/>
      <c r="F1" s="263"/>
      <c r="G1" s="263"/>
      <c r="H1" s="263"/>
      <c r="I1" s="263"/>
      <c r="J1" s="263"/>
      <c r="K1" s="264"/>
    </row>
    <row r="2" spans="1:16" s="274" customFormat="1" ht="18">
      <c r="A2" s="266"/>
      <c r="B2" s="267" t="str">
        <f>'Cover Sheet'!B2</f>
        <v>SC Germany Consumer 2023-1</v>
      </c>
      <c r="C2" s="267"/>
      <c r="D2" s="268" t="str">
        <f>'Cover Sheet'!D2</f>
        <v>Calculation Date</v>
      </c>
      <c r="E2" s="269"/>
      <c r="F2" s="270">
        <f>'Cover Sheet'!F2</f>
        <v>45973</v>
      </c>
      <c r="G2" s="269"/>
      <c r="H2" s="269"/>
      <c r="I2" s="269"/>
      <c r="J2" s="271"/>
      <c r="K2" s="351"/>
    </row>
    <row r="3" spans="1:16" s="274" customFormat="1" ht="18">
      <c r="A3" s="266"/>
      <c r="B3" s="267" t="str">
        <f>'Cover Sheet'!B3</f>
        <v>Monthly Investor Report</v>
      </c>
      <c r="C3" s="267"/>
      <c r="D3" s="275" t="str">
        <f>'Cover Sheet'!D3</f>
        <v>Payment Date</v>
      </c>
      <c r="E3" s="276"/>
      <c r="F3" s="277">
        <f>'Cover Sheet'!F3</f>
        <v>45975</v>
      </c>
      <c r="G3" s="276"/>
      <c r="H3" s="276"/>
      <c r="I3" s="276"/>
      <c r="J3" s="278"/>
      <c r="K3" s="352"/>
    </row>
    <row r="4" spans="1:16" s="274" customFormat="1" ht="13">
      <c r="A4" s="266"/>
      <c r="B4" s="280"/>
      <c r="C4" s="127"/>
      <c r="D4" s="275" t="str">
        <f>'Cover Sheet'!D4</f>
        <v>Period  No</v>
      </c>
      <c r="E4" s="276"/>
      <c r="F4" s="281">
        <f>'Cover Sheet'!F4</f>
        <v>27</v>
      </c>
      <c r="G4" s="276"/>
      <c r="H4" s="282"/>
      <c r="I4" s="276"/>
      <c r="J4" s="283"/>
      <c r="K4" s="351"/>
    </row>
    <row r="5" spans="1:16" s="274" customFormat="1" ht="18">
      <c r="A5" s="266"/>
      <c r="B5" s="284" t="s">
        <v>370</v>
      </c>
      <c r="C5" s="353"/>
      <c r="D5" s="275" t="str">
        <f>'Cover Sheet'!D5</f>
        <v>Monthly Period</v>
      </c>
      <c r="E5" s="276"/>
      <c r="F5" s="150">
        <f>'Cover Sheet'!F5</f>
        <v>45975</v>
      </c>
      <c r="G5" s="276"/>
      <c r="H5" s="282"/>
      <c r="I5" s="276"/>
      <c r="J5" s="283"/>
      <c r="K5" s="352"/>
    </row>
    <row r="6" spans="1:16" s="274" customFormat="1" ht="15" customHeight="1">
      <c r="A6" s="266"/>
      <c r="B6" s="285"/>
      <c r="C6" s="354"/>
      <c r="D6" s="286" t="str">
        <f>'Cover Sheet'!D6</f>
        <v>Interest Period</v>
      </c>
      <c r="E6" s="277" t="s">
        <v>34</v>
      </c>
      <c r="F6" s="277">
        <f>'Cover Sheet'!F6</f>
        <v>45944</v>
      </c>
      <c r="G6" s="277" t="s">
        <v>4</v>
      </c>
      <c r="H6" s="277">
        <f>'Cover Sheet'!H6</f>
        <v>45975</v>
      </c>
      <c r="I6" s="287" t="s">
        <v>15</v>
      </c>
      <c r="J6" s="288" t="str">
        <f>'Cover Sheet'!J6</f>
        <v>31 days</v>
      </c>
      <c r="K6" s="352"/>
      <c r="M6" s="355"/>
    </row>
    <row r="7" spans="1:16" s="274" customFormat="1" ht="13">
      <c r="A7" s="266"/>
      <c r="B7" s="31"/>
      <c r="C7" s="31"/>
      <c r="D7" s="290" t="str">
        <f>'Cover Sheet'!D7</f>
        <v>Collection Period</v>
      </c>
      <c r="E7" s="291" t="s">
        <v>34</v>
      </c>
      <c r="F7" s="291" t="str">
        <f>'Cover Sheet'!F7</f>
        <v>01.10.2025</v>
      </c>
      <c r="G7" s="291" t="s">
        <v>4</v>
      </c>
      <c r="H7" s="291">
        <f>'Cover Sheet'!H7</f>
        <v>45961</v>
      </c>
      <c r="I7" s="292"/>
      <c r="J7" s="293"/>
      <c r="K7" s="352"/>
    </row>
    <row r="8" spans="1:16" s="274" customFormat="1" ht="13">
      <c r="A8" s="266"/>
      <c r="B8" s="31"/>
      <c r="C8" s="31"/>
      <c r="D8" s="23"/>
      <c r="E8" s="272"/>
      <c r="F8" s="294"/>
      <c r="G8" s="272"/>
      <c r="H8" s="31"/>
      <c r="I8" s="295"/>
      <c r="J8" s="31"/>
      <c r="K8" s="352"/>
    </row>
    <row r="9" spans="1:16" s="274" customFormat="1" ht="13">
      <c r="A9" s="266"/>
      <c r="B9" s="31"/>
      <c r="C9" s="31"/>
      <c r="D9" s="23"/>
      <c r="E9" s="31"/>
      <c r="F9" s="31"/>
      <c r="G9" s="31"/>
      <c r="H9" s="31"/>
      <c r="I9" s="31"/>
      <c r="J9" s="31"/>
      <c r="K9" s="273"/>
      <c r="M9" s="356"/>
    </row>
    <row r="10" spans="1:16" s="274" customFormat="1">
      <c r="A10" s="266"/>
      <c r="B10" s="31"/>
      <c r="C10" s="31"/>
      <c r="D10" s="23"/>
      <c r="E10" s="31"/>
      <c r="F10" s="297"/>
      <c r="G10" s="31"/>
      <c r="H10" s="31"/>
      <c r="I10" s="23"/>
      <c r="J10" s="23"/>
      <c r="K10" s="273"/>
    </row>
    <row r="11" spans="1:16" s="274" customFormat="1" ht="17.5">
      <c r="A11" s="266"/>
      <c r="B11" s="298"/>
      <c r="C11" s="31"/>
      <c r="D11" s="23"/>
      <c r="E11" s="31"/>
      <c r="F11" s="23"/>
      <c r="G11" s="299"/>
      <c r="H11" s="299"/>
      <c r="I11" s="23"/>
      <c r="J11" s="31"/>
      <c r="K11" s="273"/>
      <c r="M11" s="357"/>
    </row>
    <row r="12" spans="1:16" s="274" customFormat="1" ht="12.75" customHeight="1">
      <c r="A12" s="266"/>
      <c r="B12" s="358"/>
      <c r="C12" s="23"/>
      <c r="D12" s="23"/>
      <c r="E12" s="23"/>
      <c r="F12" s="23"/>
      <c r="G12" s="301"/>
      <c r="H12" s="301"/>
      <c r="I12" s="23"/>
      <c r="J12" s="23"/>
      <c r="K12" s="273"/>
      <c r="M12" s="357"/>
    </row>
    <row r="13" spans="1:16" s="274" customFormat="1" ht="12.75" customHeight="1">
      <c r="A13" s="266"/>
      <c r="B13" s="21" t="s">
        <v>189</v>
      </c>
      <c r="D13" s="22" t="s">
        <v>569</v>
      </c>
      <c r="F13" s="359"/>
      <c r="G13" s="360"/>
      <c r="H13" s="360"/>
      <c r="I13" s="306"/>
      <c r="J13" s="23"/>
      <c r="K13" s="273"/>
      <c r="M13" s="357"/>
      <c r="P13" s="22"/>
    </row>
    <row r="14" spans="1:16" s="274" customFormat="1" ht="12.75" customHeight="1">
      <c r="A14" s="266"/>
      <c r="B14" s="21"/>
      <c r="D14" s="23"/>
      <c r="F14" s="361"/>
      <c r="G14" s="361"/>
      <c r="H14" s="362"/>
      <c r="I14" s="198"/>
      <c r="J14" s="23"/>
      <c r="K14" s="273"/>
      <c r="M14" s="357"/>
      <c r="P14" s="23"/>
    </row>
    <row r="15" spans="1:16" ht="12.75" customHeight="1">
      <c r="A15" s="312"/>
      <c r="B15" s="21" t="s">
        <v>190</v>
      </c>
      <c r="D15" s="22" t="s">
        <v>587</v>
      </c>
      <c r="F15" s="24"/>
      <c r="G15" s="24"/>
      <c r="H15" s="363"/>
      <c r="I15" s="245"/>
      <c r="J15" s="23"/>
      <c r="K15" s="109"/>
      <c r="M15" s="357"/>
      <c r="P15" s="22"/>
    </row>
    <row r="16" spans="1:16" ht="12.75" customHeight="1">
      <c r="A16" s="312"/>
      <c r="B16" s="21"/>
      <c r="D16" s="23" t="s">
        <v>195</v>
      </c>
      <c r="F16" s="24"/>
      <c r="G16" s="24"/>
      <c r="H16" s="363"/>
      <c r="I16" s="245"/>
      <c r="J16" s="23"/>
      <c r="K16" s="109"/>
      <c r="M16" s="357"/>
      <c r="P16" s="23"/>
    </row>
    <row r="17" spans="1:16" ht="12.75" customHeight="1">
      <c r="A17" s="312"/>
      <c r="B17" s="21"/>
      <c r="D17" s="71" t="s">
        <v>253</v>
      </c>
      <c r="E17" s="364"/>
      <c r="F17" s="365"/>
      <c r="G17" s="24"/>
      <c r="H17" s="363"/>
      <c r="I17" s="245"/>
      <c r="J17" s="23"/>
      <c r="K17" s="109"/>
      <c r="M17" s="357"/>
      <c r="P17" s="23"/>
    </row>
    <row r="18" spans="1:16" ht="12.75" customHeight="1">
      <c r="A18" s="312"/>
      <c r="B18" s="21"/>
      <c r="D18" s="71" t="s">
        <v>255</v>
      </c>
      <c r="E18" s="364"/>
      <c r="F18" s="365"/>
      <c r="G18" s="24"/>
      <c r="H18" s="363"/>
      <c r="I18" s="245"/>
      <c r="J18" s="23"/>
      <c r="K18" s="109"/>
      <c r="M18" s="357"/>
      <c r="P18" s="23"/>
    </row>
    <row r="19" spans="1:16" ht="12.75" customHeight="1">
      <c r="A19" s="312"/>
      <c r="B19" s="21"/>
      <c r="D19" s="71" t="s">
        <v>254</v>
      </c>
      <c r="E19" s="364"/>
      <c r="F19" s="365"/>
      <c r="G19" s="24"/>
      <c r="H19" s="363"/>
      <c r="I19" s="245"/>
      <c r="J19" s="23"/>
      <c r="K19" s="109"/>
      <c r="M19" s="357"/>
      <c r="P19" s="23"/>
    </row>
    <row r="20" spans="1:16" ht="12.75" customHeight="1">
      <c r="A20" s="312"/>
      <c r="B20" s="21"/>
      <c r="D20" s="23"/>
      <c r="F20" s="24"/>
      <c r="G20" s="24"/>
      <c r="H20" s="363"/>
      <c r="I20" s="245"/>
      <c r="J20" s="23"/>
      <c r="K20" s="109"/>
      <c r="M20" s="357"/>
      <c r="P20" s="23"/>
    </row>
    <row r="21" spans="1:16" ht="12.75" customHeight="1">
      <c r="A21" s="312"/>
      <c r="B21" s="21" t="s">
        <v>206</v>
      </c>
      <c r="D21" s="23" t="s">
        <v>398</v>
      </c>
      <c r="E21" s="71"/>
      <c r="F21" s="24"/>
      <c r="G21" s="24"/>
      <c r="H21" s="363"/>
      <c r="I21" s="245"/>
      <c r="J21" s="23"/>
      <c r="K21" s="109"/>
      <c r="M21" s="357"/>
      <c r="P21" s="23"/>
    </row>
    <row r="22" spans="1:16" ht="12.75" customHeight="1">
      <c r="A22" s="312"/>
      <c r="B22" s="21"/>
      <c r="D22" s="23"/>
      <c r="F22" s="24"/>
      <c r="G22" s="24"/>
      <c r="H22" s="363"/>
      <c r="I22" s="245"/>
      <c r="J22" s="23"/>
      <c r="K22" s="109"/>
      <c r="M22" s="357"/>
      <c r="P22" s="23"/>
    </row>
    <row r="23" spans="1:16" ht="12.75" customHeight="1">
      <c r="A23" s="312"/>
      <c r="B23" s="21" t="s">
        <v>191</v>
      </c>
      <c r="D23" s="22" t="s">
        <v>197</v>
      </c>
      <c r="F23" s="24"/>
      <c r="G23" s="24"/>
      <c r="H23" s="363"/>
      <c r="I23" s="245"/>
      <c r="J23" s="23"/>
      <c r="K23" s="109"/>
      <c r="M23" s="357"/>
      <c r="P23" s="22"/>
    </row>
    <row r="24" spans="1:16" ht="12.75" customHeight="1">
      <c r="A24" s="312"/>
      <c r="B24" s="21"/>
      <c r="D24" s="23"/>
      <c r="F24" s="24"/>
      <c r="G24" s="24"/>
      <c r="H24" s="363"/>
      <c r="I24" s="245"/>
      <c r="J24" s="23"/>
      <c r="K24" s="109"/>
      <c r="M24" s="357"/>
      <c r="P24" s="23"/>
    </row>
    <row r="25" spans="1:16" ht="12.75" customHeight="1">
      <c r="A25" s="312"/>
      <c r="B25" s="21" t="s">
        <v>192</v>
      </c>
      <c r="D25" s="22" t="s">
        <v>197</v>
      </c>
      <c r="F25" s="24"/>
      <c r="G25" s="24"/>
      <c r="H25" s="363"/>
      <c r="I25" s="245"/>
      <c r="J25" s="23"/>
      <c r="K25" s="109"/>
      <c r="M25" s="357"/>
      <c r="P25" s="22"/>
    </row>
    <row r="26" spans="1:16" ht="12.75" customHeight="1">
      <c r="A26" s="312"/>
      <c r="B26" s="21"/>
      <c r="D26" s="23"/>
      <c r="F26" s="24"/>
      <c r="G26" s="24"/>
      <c r="H26" s="363"/>
      <c r="I26" s="245"/>
      <c r="J26" s="23"/>
      <c r="K26" s="109"/>
      <c r="M26" s="357"/>
      <c r="P26" s="23"/>
    </row>
    <row r="27" spans="1:16" ht="12.75" customHeight="1">
      <c r="A27" s="312"/>
      <c r="B27" s="21" t="s">
        <v>193</v>
      </c>
      <c r="D27" s="22" t="s">
        <v>197</v>
      </c>
      <c r="F27" s="25"/>
      <c r="G27" s="25"/>
      <c r="H27" s="363"/>
      <c r="I27" s="245"/>
      <c r="J27" s="23"/>
      <c r="K27" s="109"/>
      <c r="M27" s="357"/>
      <c r="P27" s="22"/>
    </row>
    <row r="28" spans="1:16" ht="12.75" customHeight="1">
      <c r="A28" s="312"/>
      <c r="B28" s="21"/>
      <c r="D28" s="23" t="s">
        <v>113</v>
      </c>
      <c r="F28" s="366"/>
      <c r="G28" s="367"/>
      <c r="H28" s="363"/>
      <c r="I28" s="245"/>
      <c r="J28" s="23"/>
      <c r="K28" s="109"/>
      <c r="M28" s="357"/>
      <c r="P28" s="23"/>
    </row>
    <row r="29" spans="1:16" ht="12.75" customHeight="1">
      <c r="A29" s="312"/>
      <c r="B29" s="23"/>
      <c r="D29" s="23" t="s">
        <v>198</v>
      </c>
      <c r="F29" s="24"/>
      <c r="G29" s="24"/>
      <c r="H29" s="363"/>
      <c r="I29" s="245"/>
      <c r="J29" s="23"/>
      <c r="K29" s="109"/>
      <c r="M29" s="357"/>
      <c r="P29" s="23"/>
    </row>
    <row r="30" spans="1:16" ht="12.75" customHeight="1">
      <c r="A30" s="312"/>
      <c r="B30" s="21"/>
      <c r="D30" s="23" t="s">
        <v>199</v>
      </c>
      <c r="F30" s="24"/>
      <c r="G30" s="24"/>
      <c r="H30" s="363"/>
      <c r="I30" s="250"/>
      <c r="J30" s="23"/>
      <c r="K30" s="109"/>
      <c r="M30" s="357"/>
      <c r="P30" s="23"/>
    </row>
    <row r="31" spans="1:16" ht="12.75" customHeight="1">
      <c r="A31" s="312"/>
      <c r="B31" s="21"/>
      <c r="D31" s="23" t="s">
        <v>196</v>
      </c>
      <c r="F31" s="368"/>
      <c r="G31" s="369"/>
      <c r="H31" s="368"/>
      <c r="I31" s="23"/>
      <c r="J31" s="23"/>
      <c r="K31" s="109"/>
      <c r="M31" s="357"/>
      <c r="P31" s="23"/>
    </row>
    <row r="32" spans="1:16" ht="12.75" customHeight="1">
      <c r="A32" s="312"/>
      <c r="B32" s="21"/>
      <c r="D32" s="23" t="s">
        <v>200</v>
      </c>
      <c r="F32" s="26"/>
      <c r="G32" s="26"/>
      <c r="H32" s="26"/>
      <c r="I32" s="26"/>
      <c r="J32" s="23"/>
      <c r="K32" s="109"/>
      <c r="M32" s="357"/>
      <c r="P32" s="23"/>
    </row>
    <row r="33" spans="1:16" ht="12.75" customHeight="1">
      <c r="A33" s="312"/>
      <c r="B33" s="21"/>
      <c r="D33" s="23"/>
      <c r="F33" s="26"/>
      <c r="G33" s="26"/>
      <c r="H33" s="26"/>
      <c r="I33" s="26"/>
      <c r="J33" s="23"/>
      <c r="K33" s="109"/>
      <c r="M33" s="357"/>
      <c r="P33" s="23"/>
    </row>
    <row r="34" spans="1:16" ht="12.75" customHeight="1">
      <c r="A34" s="312"/>
      <c r="B34" s="21"/>
      <c r="D34" s="23"/>
      <c r="F34" s="26"/>
      <c r="G34" s="26"/>
      <c r="H34" s="26"/>
      <c r="I34" s="26"/>
      <c r="J34" s="23"/>
      <c r="K34" s="109"/>
      <c r="M34" s="357"/>
      <c r="P34" s="23"/>
    </row>
    <row r="35" spans="1:16" ht="12.75" customHeight="1">
      <c r="A35" s="312"/>
      <c r="B35" s="21" t="s">
        <v>194</v>
      </c>
      <c r="D35" s="72" t="s">
        <v>256</v>
      </c>
      <c r="E35" s="364"/>
      <c r="F35" s="69"/>
      <c r="G35" s="26"/>
      <c r="H35" s="26"/>
      <c r="I35" s="26"/>
      <c r="J35" s="23"/>
      <c r="K35" s="109"/>
      <c r="M35" s="357"/>
      <c r="P35" s="22"/>
    </row>
    <row r="36" spans="1:16" ht="12.75" customHeight="1">
      <c r="A36" s="312"/>
      <c r="B36" s="21"/>
      <c r="D36" s="71" t="s">
        <v>253</v>
      </c>
      <c r="E36" s="364"/>
      <c r="F36" s="370"/>
      <c r="G36" s="371"/>
      <c r="H36" s="371"/>
      <c r="I36" s="306"/>
      <c r="J36" s="306"/>
      <c r="K36" s="109"/>
      <c r="P36" s="23"/>
    </row>
    <row r="37" spans="1:16" ht="12.75" customHeight="1">
      <c r="A37" s="312"/>
      <c r="B37" s="23"/>
      <c r="D37" s="71" t="s">
        <v>255</v>
      </c>
      <c r="E37" s="364"/>
      <c r="F37" s="370"/>
      <c r="G37" s="371"/>
      <c r="H37" s="371"/>
      <c r="I37" s="306"/>
      <c r="J37" s="23"/>
      <c r="K37" s="109"/>
      <c r="P37" s="23"/>
    </row>
    <row r="38" spans="1:16" ht="12.75" customHeight="1">
      <c r="A38" s="312"/>
      <c r="B38" s="21"/>
      <c r="D38" s="71" t="s">
        <v>254</v>
      </c>
      <c r="E38" s="364"/>
      <c r="F38" s="69"/>
      <c r="G38" s="26"/>
      <c r="H38" s="26"/>
      <c r="I38" s="23"/>
      <c r="J38" s="23"/>
      <c r="K38" s="109"/>
      <c r="P38" s="23"/>
    </row>
    <row r="39" spans="1:16" ht="12.75" customHeight="1">
      <c r="A39" s="312"/>
      <c r="B39" s="21"/>
      <c r="D39" s="68"/>
      <c r="E39" s="364"/>
      <c r="F39" s="69"/>
      <c r="G39" s="26"/>
      <c r="H39" s="26"/>
      <c r="I39" s="23"/>
      <c r="J39" s="23"/>
      <c r="K39" s="109"/>
      <c r="P39" s="23"/>
    </row>
    <row r="40" spans="1:16" ht="12.75" customHeight="1">
      <c r="A40" s="312"/>
      <c r="B40" s="21"/>
      <c r="D40" s="68"/>
      <c r="E40" s="364"/>
      <c r="F40" s="69"/>
      <c r="G40" s="26"/>
      <c r="H40" s="26"/>
      <c r="I40" s="306"/>
      <c r="J40" s="23"/>
      <c r="K40" s="109"/>
      <c r="L40" s="23"/>
      <c r="P40" s="23"/>
    </row>
    <row r="41" spans="1:16" s="23" customFormat="1" ht="12.75" customHeight="1">
      <c r="A41" s="372"/>
      <c r="B41" s="27"/>
      <c r="C41" s="10"/>
      <c r="D41" s="373"/>
      <c r="E41" s="10"/>
      <c r="F41" s="341"/>
      <c r="G41" s="374"/>
      <c r="H41" s="341"/>
      <c r="I41" s="375"/>
      <c r="J41" s="38"/>
      <c r="K41" s="110"/>
    </row>
    <row r="42" spans="1:16" s="23" customFormat="1"/>
    <row r="43" spans="1:16" s="23" customFormat="1">
      <c r="B43" s="13"/>
      <c r="C43" s="12"/>
      <c r="D43" s="223"/>
      <c r="E43" s="12"/>
      <c r="F43" s="224"/>
      <c r="G43" s="225"/>
      <c r="H43" s="224"/>
      <c r="I43" s="306"/>
    </row>
    <row r="44" spans="1:16" s="23" customFormat="1">
      <c r="B44" s="13"/>
      <c r="C44" s="12"/>
      <c r="D44" s="223"/>
      <c r="E44" s="12"/>
      <c r="F44" s="224"/>
      <c r="G44" s="225"/>
      <c r="H44" s="224"/>
      <c r="I44" s="306"/>
    </row>
    <row r="45" spans="1:16" s="23" customFormat="1">
      <c r="B45" s="13"/>
      <c r="C45" s="12"/>
      <c r="D45" s="223"/>
      <c r="E45" s="12"/>
      <c r="F45" s="224"/>
      <c r="G45" s="225"/>
      <c r="H45" s="224"/>
      <c r="I45" s="306"/>
    </row>
    <row r="46" spans="1:16" s="23" customFormat="1" ht="15.5">
      <c r="B46" s="13"/>
      <c r="C46" s="28"/>
      <c r="D46" s="223"/>
      <c r="E46" s="12"/>
      <c r="F46" s="224"/>
      <c r="G46" s="225"/>
      <c r="H46" s="224"/>
      <c r="I46" s="306"/>
    </row>
    <row r="47" spans="1:16" s="23" customFormat="1" ht="15.5">
      <c r="B47" s="13"/>
      <c r="C47" s="28"/>
      <c r="D47" s="223"/>
      <c r="E47" s="12"/>
      <c r="F47" s="224"/>
      <c r="G47" s="225"/>
      <c r="H47" s="224"/>
      <c r="I47" s="306"/>
    </row>
    <row r="48" spans="1:16" s="23" customFormat="1" ht="15.5">
      <c r="B48" s="13"/>
      <c r="C48" s="29"/>
      <c r="D48" s="223"/>
      <c r="E48" s="12"/>
      <c r="F48" s="224"/>
      <c r="G48" s="225"/>
      <c r="H48" s="224"/>
      <c r="I48" s="306"/>
    </row>
    <row r="49" spans="2:9" s="23" customFormat="1" ht="15.5">
      <c r="B49" s="13"/>
      <c r="C49" s="29"/>
      <c r="D49" s="223"/>
      <c r="E49" s="12"/>
      <c r="F49" s="224"/>
      <c r="G49" s="225"/>
      <c r="H49" s="224"/>
      <c r="I49" s="306"/>
    </row>
    <row r="50" spans="2:9" s="23" customFormat="1" ht="15.5">
      <c r="B50" s="13"/>
      <c r="C50" s="29"/>
      <c r="D50" s="223"/>
      <c r="E50" s="12"/>
      <c r="F50" s="224"/>
      <c r="G50" s="225"/>
      <c r="H50" s="224"/>
      <c r="I50" s="306"/>
    </row>
    <row r="51" spans="2:9" s="23" customFormat="1" ht="15.5">
      <c r="B51" s="13"/>
      <c r="C51" s="29"/>
      <c r="D51" s="223"/>
      <c r="E51" s="12"/>
      <c r="F51" s="224"/>
      <c r="G51" s="225"/>
      <c r="H51" s="224"/>
      <c r="I51" s="306"/>
    </row>
    <row r="52" spans="2:9" s="23" customFormat="1" ht="15.5">
      <c r="B52" s="13"/>
      <c r="C52" s="29"/>
      <c r="D52" s="223"/>
      <c r="E52" s="12"/>
      <c r="F52" s="224"/>
      <c r="G52" s="225"/>
      <c r="H52" s="224"/>
      <c r="I52" s="306"/>
    </row>
    <row r="53" spans="2:9" s="23" customFormat="1" ht="15.5">
      <c r="B53" s="13"/>
      <c r="C53" s="29"/>
      <c r="D53" s="223"/>
      <c r="E53" s="12"/>
      <c r="F53" s="224"/>
      <c r="G53" s="225"/>
      <c r="H53" s="224"/>
      <c r="I53" s="306"/>
    </row>
    <row r="54" spans="2:9" s="23" customFormat="1">
      <c r="B54" s="13"/>
      <c r="C54" s="12"/>
      <c r="D54" s="223"/>
      <c r="E54" s="12"/>
      <c r="F54" s="224"/>
      <c r="G54" s="225"/>
      <c r="H54" s="224"/>
      <c r="I54" s="306"/>
    </row>
    <row r="55" spans="2:9" s="23" customFormat="1">
      <c r="B55" s="13"/>
      <c r="C55" s="12"/>
      <c r="D55" s="223"/>
      <c r="E55" s="12"/>
      <c r="F55" s="224"/>
      <c r="G55" s="225"/>
      <c r="H55" s="224"/>
      <c r="I55" s="306"/>
    </row>
    <row r="56" spans="2:9" s="23" customFormat="1">
      <c r="B56" s="13"/>
      <c r="C56" s="12"/>
      <c r="D56" s="223"/>
      <c r="E56" s="12"/>
      <c r="F56" s="224"/>
      <c r="G56" s="225"/>
      <c r="H56" s="224"/>
      <c r="I56" s="306"/>
    </row>
    <row r="57" spans="2:9" s="23" customFormat="1">
      <c r="B57" s="13"/>
      <c r="C57" s="12"/>
      <c r="D57" s="223"/>
      <c r="E57" s="12"/>
      <c r="F57" s="224"/>
      <c r="G57" s="225"/>
      <c r="H57" s="224"/>
      <c r="I57" s="306"/>
    </row>
    <row r="58" spans="2:9" s="23" customFormat="1">
      <c r="B58" s="13"/>
      <c r="C58" s="12"/>
      <c r="D58" s="223"/>
      <c r="E58" s="12"/>
      <c r="F58" s="224"/>
      <c r="G58" s="225"/>
      <c r="H58" s="224"/>
      <c r="I58" s="306"/>
    </row>
    <row r="59" spans="2:9" s="23" customFormat="1">
      <c r="B59" s="13"/>
      <c r="C59" s="12"/>
      <c r="D59" s="223"/>
      <c r="E59" s="12"/>
      <c r="F59" s="224"/>
      <c r="G59" s="225"/>
      <c r="H59" s="224"/>
      <c r="I59" s="306"/>
    </row>
    <row r="60" spans="2:9" s="23" customFormat="1">
      <c r="B60" s="13"/>
      <c r="C60" s="12"/>
      <c r="D60" s="223"/>
      <c r="E60" s="12"/>
      <c r="F60" s="224"/>
      <c r="G60" s="225"/>
      <c r="H60" s="224"/>
      <c r="I60" s="306"/>
    </row>
    <row r="61" spans="2:9" s="23" customFormat="1">
      <c r="B61" s="13"/>
      <c r="C61" s="12"/>
      <c r="D61" s="223"/>
      <c r="E61" s="12"/>
      <c r="F61" s="224"/>
      <c r="G61" s="225"/>
      <c r="H61" s="224"/>
      <c r="I61" s="306"/>
    </row>
    <row r="62" spans="2:9" s="23" customFormat="1">
      <c r="B62" s="13"/>
      <c r="C62" s="12"/>
      <c r="D62" s="223"/>
      <c r="E62" s="12"/>
      <c r="F62" s="224"/>
      <c r="G62" s="225"/>
      <c r="H62" s="224"/>
      <c r="I62" s="306"/>
    </row>
    <row r="63" spans="2:9" s="23" customFormat="1">
      <c r="B63" s="13"/>
      <c r="C63" s="12"/>
      <c r="D63" s="223"/>
      <c r="E63" s="12"/>
      <c r="F63" s="224"/>
      <c r="G63" s="225"/>
      <c r="H63" s="224"/>
      <c r="I63" s="306"/>
    </row>
    <row r="64" spans="2:9" s="23" customFormat="1">
      <c r="B64" s="13"/>
      <c r="C64" s="12"/>
      <c r="D64" s="223"/>
      <c r="E64" s="12"/>
      <c r="F64" s="224"/>
      <c r="G64" s="225"/>
      <c r="H64" s="224"/>
      <c r="I64" s="306"/>
    </row>
    <row r="65" spans="2:9" s="23" customFormat="1">
      <c r="B65" s="13"/>
      <c r="C65" s="12"/>
      <c r="D65" s="223"/>
      <c r="E65" s="12"/>
      <c r="F65" s="224"/>
      <c r="G65" s="225"/>
      <c r="H65" s="224"/>
      <c r="I65" s="306"/>
    </row>
    <row r="66" spans="2:9" s="23" customFormat="1">
      <c r="B66" s="13"/>
      <c r="C66" s="12"/>
      <c r="D66" s="223"/>
      <c r="E66" s="12"/>
      <c r="F66" s="224"/>
      <c r="G66" s="225"/>
      <c r="H66" s="224"/>
      <c r="I66" s="306"/>
    </row>
    <row r="67" spans="2:9" s="23" customFormat="1">
      <c r="B67" s="13"/>
      <c r="C67" s="12"/>
      <c r="D67" s="223"/>
      <c r="E67" s="12"/>
      <c r="F67" s="224"/>
      <c r="G67" s="225"/>
      <c r="H67" s="224"/>
      <c r="I67" s="306"/>
    </row>
    <row r="68" spans="2:9" s="23" customFormat="1">
      <c r="B68" s="13"/>
      <c r="C68" s="12"/>
      <c r="D68" s="223"/>
      <c r="E68" s="12"/>
      <c r="F68" s="224"/>
      <c r="G68" s="225"/>
      <c r="H68" s="224"/>
      <c r="I68" s="306"/>
    </row>
    <row r="69" spans="2:9" s="23" customFormat="1">
      <c r="B69" s="13"/>
      <c r="C69" s="12"/>
      <c r="D69" s="345"/>
      <c r="E69" s="346"/>
      <c r="F69" s="259"/>
      <c r="G69" s="347"/>
      <c r="H69" s="259"/>
      <c r="I69" s="306"/>
    </row>
    <row r="70" spans="2:9" s="23" customFormat="1">
      <c r="B70" s="13"/>
      <c r="C70" s="12"/>
      <c r="D70" s="345"/>
      <c r="E70" s="345"/>
      <c r="F70" s="345"/>
      <c r="G70" s="345"/>
      <c r="H70" s="345"/>
      <c r="I70" s="306"/>
    </row>
    <row r="71" spans="2:9" s="23" customFormat="1">
      <c r="B71" s="13"/>
      <c r="C71" s="12"/>
      <c r="D71" s="345"/>
      <c r="E71" s="345"/>
      <c r="F71" s="345"/>
      <c r="G71" s="345"/>
      <c r="H71" s="345"/>
      <c r="I71" s="306"/>
    </row>
    <row r="72" spans="2:9" s="23" customFormat="1">
      <c r="B72" s="13"/>
      <c r="C72" s="12"/>
      <c r="D72" s="230"/>
      <c r="E72" s="260"/>
      <c r="F72" s="345"/>
      <c r="G72" s="345"/>
      <c r="H72" s="345"/>
      <c r="I72" s="306"/>
    </row>
    <row r="73" spans="2:9" s="23" customFormat="1">
      <c r="B73" s="13"/>
      <c r="C73" s="12"/>
      <c r="D73" s="346"/>
      <c r="E73" s="260"/>
      <c r="F73" s="345"/>
      <c r="G73" s="345"/>
      <c r="H73" s="345"/>
      <c r="I73" s="306"/>
    </row>
    <row r="74" spans="2:9" s="23" customFormat="1">
      <c r="B74" s="13"/>
      <c r="C74" s="12"/>
      <c r="D74" s="345"/>
      <c r="E74" s="260"/>
      <c r="F74" s="345"/>
      <c r="G74" s="345"/>
      <c r="H74" s="345"/>
      <c r="I74" s="306"/>
    </row>
    <row r="75" spans="2:9" s="23" customFormat="1" ht="14">
      <c r="B75" s="345"/>
      <c r="C75" s="346"/>
      <c r="D75" s="348"/>
      <c r="E75" s="348"/>
      <c r="F75" s="348"/>
      <c r="G75" s="348"/>
      <c r="H75" s="348"/>
      <c r="I75" s="306"/>
    </row>
    <row r="76" spans="2:9" s="23" customFormat="1" ht="14">
      <c r="B76" s="31"/>
      <c r="C76" s="31"/>
      <c r="D76" s="348"/>
      <c r="E76" s="348"/>
      <c r="F76" s="348"/>
      <c r="G76" s="348"/>
      <c r="H76" s="348"/>
      <c r="I76" s="306"/>
    </row>
    <row r="77" spans="2:9" s="23" customFormat="1" ht="14">
      <c r="B77" s="31"/>
      <c r="C77" s="31"/>
      <c r="D77" s="233"/>
      <c r="E77" s="261"/>
      <c r="F77" s="348"/>
      <c r="G77" s="348"/>
      <c r="H77" s="348"/>
      <c r="I77" s="306"/>
    </row>
    <row r="78" spans="2:9" s="23" customFormat="1" ht="14">
      <c r="B78" s="230"/>
      <c r="C78" s="260"/>
      <c r="D78" s="349"/>
      <c r="E78" s="261"/>
      <c r="F78" s="348"/>
      <c r="G78" s="348"/>
      <c r="H78" s="348"/>
      <c r="I78" s="306"/>
    </row>
    <row r="79" spans="2:9" s="23" customFormat="1" ht="14">
      <c r="B79" s="350"/>
      <c r="C79" s="260"/>
      <c r="D79" s="348"/>
      <c r="E79" s="261"/>
      <c r="F79" s="348"/>
      <c r="G79" s="348"/>
      <c r="H79" s="348"/>
      <c r="I79" s="306"/>
    </row>
    <row r="80" spans="2:9" s="23" customFormat="1">
      <c r="C80" s="260"/>
      <c r="I80" s="306"/>
    </row>
    <row r="81" spans="9:9" s="23" customFormat="1">
      <c r="I81" s="306"/>
    </row>
    <row r="82" spans="9:9" s="23" customFormat="1">
      <c r="I82" s="306"/>
    </row>
    <row r="83" spans="9:9" s="23" customFormat="1">
      <c r="I83" s="306"/>
    </row>
    <row r="84" spans="9:9" s="23" customFormat="1">
      <c r="I84" s="306"/>
    </row>
    <row r="85" spans="9:9" s="23" customFormat="1">
      <c r="I85" s="306"/>
    </row>
    <row r="86" spans="9:9" s="23" customFormat="1">
      <c r="I86" s="306"/>
    </row>
    <row r="87" spans="9:9" s="23" customFormat="1">
      <c r="I87" s="306"/>
    </row>
    <row r="88" spans="9:9" s="23" customFormat="1">
      <c r="I88" s="306"/>
    </row>
    <row r="89" spans="9:9" s="23" customFormat="1">
      <c r="I89" s="306"/>
    </row>
    <row r="90" spans="9:9" s="23" customFormat="1">
      <c r="I90" s="306"/>
    </row>
    <row r="91" spans="9:9" s="23" customFormat="1">
      <c r="I91" s="306"/>
    </row>
    <row r="92" spans="9:9" s="23" customFormat="1">
      <c r="I92" s="306"/>
    </row>
    <row r="93" spans="9:9" s="23" customFormat="1">
      <c r="I93" s="306"/>
    </row>
    <row r="94" spans="9:9" s="23" customFormat="1">
      <c r="I94" s="306"/>
    </row>
    <row r="95" spans="9:9" s="23" customFormat="1">
      <c r="I95" s="306"/>
    </row>
    <row r="96" spans="9:9" s="23" customFormat="1">
      <c r="I96" s="306"/>
    </row>
    <row r="97" spans="9:9" s="23" customFormat="1">
      <c r="I97" s="306"/>
    </row>
    <row r="98" spans="9:9" s="23" customFormat="1">
      <c r="I98" s="306"/>
    </row>
    <row r="99" spans="9:9" s="23" customFormat="1">
      <c r="I99" s="306"/>
    </row>
    <row r="100" spans="9:9" s="23" customFormat="1">
      <c r="I100" s="306"/>
    </row>
    <row r="101" spans="9:9" s="23" customFormat="1">
      <c r="I101" s="306"/>
    </row>
    <row r="102" spans="9:9" s="23" customFormat="1">
      <c r="I102" s="306"/>
    </row>
    <row r="103" spans="9:9" s="23" customFormat="1">
      <c r="I103" s="306"/>
    </row>
    <row r="104" spans="9:9" s="23" customFormat="1">
      <c r="I104" s="306"/>
    </row>
    <row r="105" spans="9:9" s="23" customFormat="1">
      <c r="I105" s="306"/>
    </row>
    <row r="106" spans="9:9" s="23" customFormat="1">
      <c r="I106" s="306"/>
    </row>
    <row r="107" spans="9:9" s="23" customFormat="1">
      <c r="I107" s="306"/>
    </row>
    <row r="108" spans="9:9" s="23" customFormat="1">
      <c r="I108" s="306"/>
    </row>
    <row r="109" spans="9:9" s="23" customFormat="1">
      <c r="I109" s="306"/>
    </row>
    <row r="110" spans="9:9" s="23" customFormat="1">
      <c r="I110" s="306"/>
    </row>
    <row r="111" spans="9:9" s="23" customFormat="1">
      <c r="I111" s="306"/>
    </row>
    <row r="112" spans="9:9" s="23" customFormat="1">
      <c r="I112" s="306"/>
    </row>
    <row r="113" spans="9:9" s="23" customFormat="1">
      <c r="I113" s="306"/>
    </row>
    <row r="114" spans="9:9" s="23" customFormat="1">
      <c r="I114" s="306"/>
    </row>
    <row r="115" spans="9:9" s="23" customFormat="1">
      <c r="I115" s="306"/>
    </row>
    <row r="116" spans="9:9" s="23" customFormat="1">
      <c r="I116" s="306"/>
    </row>
    <row r="117" spans="9:9" s="23" customFormat="1">
      <c r="I117" s="306"/>
    </row>
    <row r="118" spans="9:9" s="23" customFormat="1">
      <c r="I118" s="306"/>
    </row>
    <row r="119" spans="9:9" s="23" customFormat="1">
      <c r="I119" s="306"/>
    </row>
    <row r="120" spans="9:9" s="23" customFormat="1">
      <c r="I120" s="306"/>
    </row>
    <row r="121" spans="9:9" s="23" customFormat="1">
      <c r="I121" s="306"/>
    </row>
    <row r="122" spans="9:9" s="23" customFormat="1">
      <c r="I122" s="306"/>
    </row>
    <row r="123" spans="9:9" s="23" customFormat="1">
      <c r="I123" s="306"/>
    </row>
    <row r="124" spans="9:9" s="23" customFormat="1">
      <c r="I124" s="306"/>
    </row>
    <row r="125" spans="9:9" s="23" customFormat="1">
      <c r="I125" s="306"/>
    </row>
    <row r="126" spans="9:9" s="23" customFormat="1">
      <c r="I126" s="306"/>
    </row>
    <row r="127" spans="9:9" s="23" customFormat="1">
      <c r="I127" s="306"/>
    </row>
    <row r="128" spans="9:9" s="23" customFormat="1">
      <c r="I128" s="306"/>
    </row>
    <row r="129" spans="9:9" s="23" customFormat="1">
      <c r="I129" s="306"/>
    </row>
    <row r="130" spans="9:9" s="23" customFormat="1">
      <c r="I130" s="306"/>
    </row>
    <row r="131" spans="9:9" s="23" customFormat="1">
      <c r="I131" s="306"/>
    </row>
    <row r="132" spans="9:9" s="23" customFormat="1">
      <c r="I132" s="306"/>
    </row>
    <row r="133" spans="9:9" s="23" customFormat="1">
      <c r="I133" s="306"/>
    </row>
    <row r="134" spans="9:9" s="23" customFormat="1">
      <c r="I134" s="306"/>
    </row>
    <row r="135" spans="9:9" s="23" customFormat="1">
      <c r="I135" s="306"/>
    </row>
    <row r="136" spans="9:9" s="23" customFormat="1">
      <c r="I136" s="306"/>
    </row>
    <row r="137" spans="9:9" s="23" customFormat="1">
      <c r="I137" s="306"/>
    </row>
    <row r="138" spans="9:9" s="23" customFormat="1">
      <c r="I138" s="306"/>
    </row>
    <row r="139" spans="9:9" s="23" customFormat="1">
      <c r="I139" s="306"/>
    </row>
    <row r="140" spans="9:9" s="23" customFormat="1">
      <c r="I140" s="306"/>
    </row>
    <row r="141" spans="9:9" s="23" customFormat="1">
      <c r="I141" s="306"/>
    </row>
    <row r="142" spans="9:9" s="23" customFormat="1">
      <c r="I142" s="306"/>
    </row>
    <row r="143" spans="9:9" s="23" customFormat="1">
      <c r="I143" s="306"/>
    </row>
    <row r="144" spans="9:9" s="23" customFormat="1">
      <c r="I144" s="306"/>
    </row>
    <row r="145" spans="9:9" s="23" customFormat="1">
      <c r="I145" s="306"/>
    </row>
    <row r="146" spans="9:9" s="23" customFormat="1">
      <c r="I146" s="306"/>
    </row>
    <row r="147" spans="9:9" s="23" customFormat="1">
      <c r="I147" s="306"/>
    </row>
    <row r="148" spans="9:9" s="23" customFormat="1">
      <c r="I148" s="306"/>
    </row>
    <row r="149" spans="9:9" s="23" customFormat="1">
      <c r="I149" s="306"/>
    </row>
    <row r="150" spans="9:9" s="23" customFormat="1">
      <c r="I150" s="306"/>
    </row>
    <row r="151" spans="9:9" s="23" customFormat="1">
      <c r="I151" s="306"/>
    </row>
    <row r="152" spans="9:9" s="23" customFormat="1">
      <c r="I152" s="306"/>
    </row>
    <row r="153" spans="9:9" s="23" customFormat="1">
      <c r="I153" s="306"/>
    </row>
    <row r="154" spans="9:9" s="23" customFormat="1">
      <c r="I154" s="306"/>
    </row>
    <row r="155" spans="9:9" s="23" customFormat="1">
      <c r="I155" s="306"/>
    </row>
    <row r="156" spans="9:9" s="23" customFormat="1">
      <c r="I156" s="306"/>
    </row>
    <row r="157" spans="9:9" s="23" customFormat="1">
      <c r="I157" s="306"/>
    </row>
    <row r="158" spans="9:9" s="23" customFormat="1">
      <c r="I158" s="306"/>
    </row>
    <row r="159" spans="9:9" s="23" customFormat="1">
      <c r="I159" s="306"/>
    </row>
    <row r="160" spans="9:9" s="23" customFormat="1">
      <c r="I160" s="306"/>
    </row>
    <row r="161" spans="9:9" s="23" customFormat="1">
      <c r="I161" s="306"/>
    </row>
    <row r="162" spans="9:9" s="23" customFormat="1">
      <c r="I162" s="306"/>
    </row>
    <row r="163" spans="9:9" s="23" customFormat="1">
      <c r="I163" s="306"/>
    </row>
    <row r="164" spans="9:9" s="23" customFormat="1">
      <c r="I164" s="306"/>
    </row>
    <row r="165" spans="9:9" s="23" customFormat="1">
      <c r="I165" s="306"/>
    </row>
    <row r="166" spans="9:9" s="23" customFormat="1">
      <c r="I166" s="306"/>
    </row>
    <row r="167" spans="9:9" s="23" customFormat="1">
      <c r="I167" s="306"/>
    </row>
    <row r="168" spans="9:9" s="23" customFormat="1">
      <c r="I168" s="306"/>
    </row>
    <row r="169" spans="9:9" s="23" customFormat="1">
      <c r="I169" s="306"/>
    </row>
    <row r="170" spans="9:9" s="23" customFormat="1">
      <c r="I170" s="306"/>
    </row>
    <row r="171" spans="9:9" s="23" customFormat="1">
      <c r="I171" s="306"/>
    </row>
    <row r="172" spans="9:9" s="23" customFormat="1">
      <c r="I172" s="306"/>
    </row>
    <row r="173" spans="9:9" s="23" customFormat="1">
      <c r="I173" s="306"/>
    </row>
    <row r="174" spans="9:9" s="23" customFormat="1">
      <c r="I174" s="306"/>
    </row>
    <row r="175" spans="9:9" s="23" customFormat="1">
      <c r="I175" s="306"/>
    </row>
    <row r="176" spans="9:9" s="23" customFormat="1">
      <c r="I176" s="306"/>
    </row>
    <row r="177" spans="9:9" s="23" customFormat="1">
      <c r="I177" s="306"/>
    </row>
    <row r="178" spans="9:9" s="23" customFormat="1">
      <c r="I178" s="306"/>
    </row>
    <row r="179" spans="9:9" s="23" customFormat="1">
      <c r="I179" s="306"/>
    </row>
    <row r="180" spans="9:9" s="23" customFormat="1">
      <c r="I180" s="306"/>
    </row>
    <row r="181" spans="9:9" s="23" customFormat="1">
      <c r="I181" s="306"/>
    </row>
    <row r="182" spans="9:9" s="23" customFormat="1">
      <c r="I182" s="306"/>
    </row>
    <row r="183" spans="9:9" s="23" customFormat="1">
      <c r="I183" s="306"/>
    </row>
    <row r="184" spans="9:9" s="23" customFormat="1">
      <c r="I184" s="306"/>
    </row>
    <row r="185" spans="9:9" s="23" customFormat="1">
      <c r="I185" s="306"/>
    </row>
    <row r="186" spans="9:9" s="23" customFormat="1">
      <c r="I186" s="306"/>
    </row>
    <row r="187" spans="9:9" s="23" customFormat="1">
      <c r="I187" s="306"/>
    </row>
    <row r="188" spans="9:9" s="23" customFormat="1">
      <c r="I188" s="306"/>
    </row>
    <row r="189" spans="9:9" s="23" customFormat="1">
      <c r="I189" s="306"/>
    </row>
    <row r="190" spans="9:9" s="23" customFormat="1">
      <c r="I190" s="306"/>
    </row>
    <row r="191" spans="9:9" s="23" customFormat="1">
      <c r="I191" s="306"/>
    </row>
    <row r="192" spans="9:9" s="23" customFormat="1">
      <c r="I192" s="306"/>
    </row>
    <row r="193" spans="9:9" s="23" customFormat="1">
      <c r="I193" s="306"/>
    </row>
    <row r="194" spans="9:9" s="23" customFormat="1">
      <c r="I194" s="306"/>
    </row>
    <row r="195" spans="9:9" s="23" customFormat="1">
      <c r="I195" s="306"/>
    </row>
    <row r="196" spans="9:9" s="23" customFormat="1">
      <c r="I196" s="306"/>
    </row>
    <row r="197" spans="9:9" s="23" customFormat="1">
      <c r="I197" s="306"/>
    </row>
    <row r="198" spans="9:9" s="23" customFormat="1">
      <c r="I198" s="306"/>
    </row>
    <row r="199" spans="9:9" s="23" customFormat="1">
      <c r="I199" s="306"/>
    </row>
    <row r="200" spans="9:9" s="23" customFormat="1">
      <c r="I200" s="306"/>
    </row>
    <row r="201" spans="9:9" s="23" customFormat="1">
      <c r="I201" s="306"/>
    </row>
    <row r="202" spans="9:9" s="23" customFormat="1">
      <c r="I202" s="306"/>
    </row>
    <row r="203" spans="9:9" s="23" customFormat="1">
      <c r="I203" s="306"/>
    </row>
    <row r="204" spans="9:9" s="23" customFormat="1">
      <c r="I204" s="306"/>
    </row>
    <row r="205" spans="9:9" s="23" customFormat="1">
      <c r="I205" s="306"/>
    </row>
    <row r="206" spans="9:9" s="23" customFormat="1">
      <c r="I206" s="306"/>
    </row>
    <row r="207" spans="9:9" s="23" customFormat="1">
      <c r="I207" s="306"/>
    </row>
    <row r="208" spans="9:9" s="23" customFormat="1">
      <c r="I208" s="306"/>
    </row>
    <row r="209" spans="9:9" s="23" customFormat="1">
      <c r="I209" s="306"/>
    </row>
    <row r="210" spans="9:9" s="23" customFormat="1">
      <c r="I210" s="306"/>
    </row>
    <row r="211" spans="9:9" s="23" customFormat="1">
      <c r="I211" s="306"/>
    </row>
    <row r="212" spans="9:9" s="23" customFormat="1">
      <c r="I212" s="306"/>
    </row>
    <row r="213" spans="9:9" s="23" customFormat="1">
      <c r="I213" s="306"/>
    </row>
    <row r="214" spans="9:9" s="23" customFormat="1">
      <c r="I214" s="306"/>
    </row>
    <row r="215" spans="9:9" s="23" customFormat="1">
      <c r="I215" s="306"/>
    </row>
    <row r="216" spans="9:9" s="23" customFormat="1">
      <c r="I216" s="306"/>
    </row>
    <row r="217" spans="9:9" s="23" customFormat="1">
      <c r="I217" s="306"/>
    </row>
    <row r="218" spans="9:9" s="23" customFormat="1">
      <c r="I218" s="306"/>
    </row>
    <row r="219" spans="9:9" s="23" customFormat="1">
      <c r="I219" s="306"/>
    </row>
    <row r="220" spans="9:9" s="23" customFormat="1">
      <c r="I220" s="306"/>
    </row>
    <row r="221" spans="9:9" s="23" customFormat="1">
      <c r="I221" s="306"/>
    </row>
    <row r="222" spans="9:9" s="23" customFormat="1">
      <c r="I222" s="306"/>
    </row>
    <row r="223" spans="9:9" s="23" customFormat="1">
      <c r="I223" s="306"/>
    </row>
    <row r="224" spans="9:9" s="23" customFormat="1">
      <c r="I224" s="306"/>
    </row>
    <row r="225" spans="9:9" s="23" customFormat="1">
      <c r="I225" s="306"/>
    </row>
    <row r="226" spans="9:9" s="23" customFormat="1">
      <c r="I226" s="306"/>
    </row>
    <row r="227" spans="9:9" s="23" customFormat="1">
      <c r="I227" s="306"/>
    </row>
    <row r="228" spans="9:9" s="23" customFormat="1">
      <c r="I228" s="306"/>
    </row>
    <row r="229" spans="9:9" s="23" customFormat="1">
      <c r="I229" s="306"/>
    </row>
    <row r="230" spans="9:9" s="23" customFormat="1">
      <c r="I230" s="306"/>
    </row>
    <row r="231" spans="9:9" s="23" customFormat="1">
      <c r="I231" s="306"/>
    </row>
    <row r="232" spans="9:9" s="23" customFormat="1">
      <c r="I232" s="306"/>
    </row>
    <row r="233" spans="9:9" s="23" customFormat="1">
      <c r="I233" s="306"/>
    </row>
    <row r="234" spans="9:9" s="23" customFormat="1">
      <c r="I234" s="306"/>
    </row>
    <row r="235" spans="9:9" s="23" customFormat="1">
      <c r="I235" s="306"/>
    </row>
    <row r="236" spans="9:9" s="23" customFormat="1">
      <c r="I236" s="306"/>
    </row>
    <row r="237" spans="9:9" s="23" customFormat="1">
      <c r="I237" s="306"/>
    </row>
    <row r="238" spans="9:9" s="23" customFormat="1">
      <c r="I238" s="306"/>
    </row>
    <row r="239" spans="9:9" s="23" customFormat="1">
      <c r="I239" s="306"/>
    </row>
    <row r="240" spans="9:9" s="23" customFormat="1">
      <c r="I240" s="306"/>
    </row>
    <row r="241" spans="9:9" s="23" customFormat="1">
      <c r="I241" s="306"/>
    </row>
    <row r="242" spans="9:9" s="23" customFormat="1">
      <c r="I242" s="306"/>
    </row>
    <row r="243" spans="9:9" s="23" customFormat="1">
      <c r="I243" s="306"/>
    </row>
    <row r="244" spans="9:9" s="23" customFormat="1">
      <c r="I244" s="306"/>
    </row>
    <row r="245" spans="9:9" s="23" customFormat="1">
      <c r="I245" s="306"/>
    </row>
    <row r="246" spans="9:9" s="23" customFormat="1">
      <c r="I246" s="306"/>
    </row>
    <row r="247" spans="9:9" s="23" customFormat="1">
      <c r="I247" s="306"/>
    </row>
    <row r="248" spans="9:9" s="23" customFormat="1">
      <c r="I248" s="306"/>
    </row>
    <row r="249" spans="9:9" s="23" customFormat="1">
      <c r="I249" s="306"/>
    </row>
    <row r="250" spans="9:9" s="23" customFormat="1">
      <c r="I250" s="306"/>
    </row>
    <row r="251" spans="9:9" s="23" customFormat="1">
      <c r="I251" s="306"/>
    </row>
    <row r="252" spans="9:9" s="23" customFormat="1">
      <c r="I252" s="306"/>
    </row>
    <row r="253" spans="9:9" s="23" customFormat="1">
      <c r="I253" s="306"/>
    </row>
    <row r="254" spans="9:9" s="23" customFormat="1">
      <c r="I254" s="306"/>
    </row>
    <row r="255" spans="9:9" s="23" customFormat="1">
      <c r="I255" s="306"/>
    </row>
    <row r="256" spans="9:9" s="23" customFormat="1">
      <c r="I256" s="306"/>
    </row>
    <row r="257" spans="9:9" s="23" customFormat="1">
      <c r="I257" s="306"/>
    </row>
    <row r="258" spans="9:9" s="23" customFormat="1">
      <c r="I258" s="306"/>
    </row>
    <row r="259" spans="9:9" s="23" customFormat="1">
      <c r="I259" s="306"/>
    </row>
    <row r="260" spans="9:9" s="23" customFormat="1">
      <c r="I260" s="306"/>
    </row>
    <row r="261" spans="9:9" s="23" customFormat="1">
      <c r="I261" s="306"/>
    </row>
    <row r="262" spans="9:9" s="23" customFormat="1">
      <c r="I262" s="306"/>
    </row>
    <row r="263" spans="9:9" s="23" customFormat="1">
      <c r="I263" s="306"/>
    </row>
    <row r="264" spans="9:9" s="23" customFormat="1">
      <c r="I264" s="306"/>
    </row>
    <row r="265" spans="9:9" s="23" customFormat="1">
      <c r="I265" s="306"/>
    </row>
    <row r="266" spans="9:9" s="23" customFormat="1">
      <c r="I266" s="306"/>
    </row>
    <row r="267" spans="9:9" s="23" customFormat="1">
      <c r="I267" s="306"/>
    </row>
    <row r="268" spans="9:9" s="23" customFormat="1">
      <c r="I268" s="306"/>
    </row>
    <row r="269" spans="9:9" s="23" customFormat="1">
      <c r="I269" s="306"/>
    </row>
    <row r="270" spans="9:9" s="23" customFormat="1">
      <c r="I270" s="306"/>
    </row>
    <row r="271" spans="9:9" s="23" customFormat="1">
      <c r="I271" s="306"/>
    </row>
    <row r="272" spans="9:9" s="23" customFormat="1">
      <c r="I272" s="306"/>
    </row>
    <row r="273" spans="9:9" s="23" customFormat="1">
      <c r="I273" s="306"/>
    </row>
    <row r="274" spans="9:9" s="23" customFormat="1">
      <c r="I274" s="306"/>
    </row>
    <row r="275" spans="9:9" s="23" customFormat="1">
      <c r="I275" s="306"/>
    </row>
    <row r="276" spans="9:9" s="23" customFormat="1">
      <c r="I276" s="306"/>
    </row>
    <row r="277" spans="9:9" s="23" customFormat="1">
      <c r="I277" s="306"/>
    </row>
    <row r="278" spans="9:9" s="23" customFormat="1">
      <c r="I278" s="306"/>
    </row>
    <row r="279" spans="9:9" s="23" customFormat="1">
      <c r="I279" s="306"/>
    </row>
    <row r="280" spans="9:9" s="23" customFormat="1">
      <c r="I280" s="306"/>
    </row>
    <row r="281" spans="9:9" s="23" customFormat="1">
      <c r="I281" s="306"/>
    </row>
    <row r="282" spans="9:9" s="23" customFormat="1">
      <c r="I282" s="306"/>
    </row>
    <row r="283" spans="9:9" s="23" customFormat="1">
      <c r="I283" s="306"/>
    </row>
    <row r="284" spans="9:9" s="23" customFormat="1">
      <c r="I284" s="306"/>
    </row>
    <row r="285" spans="9:9" s="23" customFormat="1">
      <c r="I285" s="306"/>
    </row>
    <row r="286" spans="9:9" s="23" customFormat="1">
      <c r="I286" s="306"/>
    </row>
    <row r="287" spans="9:9" s="23" customFormat="1">
      <c r="I287" s="306"/>
    </row>
    <row r="288" spans="9:9" s="23" customFormat="1">
      <c r="I288" s="306"/>
    </row>
    <row r="289" spans="9:9" s="23" customFormat="1">
      <c r="I289" s="306"/>
    </row>
    <row r="290" spans="9:9" s="23" customFormat="1">
      <c r="I290" s="306"/>
    </row>
    <row r="291" spans="9:9" s="23" customFormat="1">
      <c r="I291" s="306"/>
    </row>
    <row r="292" spans="9:9" s="23" customFormat="1">
      <c r="I292" s="306"/>
    </row>
    <row r="293" spans="9:9" s="23" customFormat="1">
      <c r="I293" s="306"/>
    </row>
    <row r="294" spans="9:9" s="23" customFormat="1">
      <c r="I294" s="306"/>
    </row>
    <row r="295" spans="9:9" s="23" customFormat="1">
      <c r="I295" s="306"/>
    </row>
    <row r="296" spans="9:9" s="23" customFormat="1">
      <c r="I296" s="306"/>
    </row>
    <row r="297" spans="9:9" s="23" customFormat="1">
      <c r="I297" s="306"/>
    </row>
    <row r="298" spans="9:9" s="23" customFormat="1">
      <c r="I298" s="306"/>
    </row>
    <row r="299" spans="9:9" s="23" customFormat="1"/>
    <row r="300" spans="9:9" s="23" customFormat="1"/>
    <row r="301" spans="9:9" s="23" customFormat="1"/>
    <row r="302" spans="9:9" s="23" customFormat="1"/>
    <row r="303" spans="9:9" s="23" customFormat="1"/>
    <row r="304" spans="9:9"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1"/>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65" customWidth="1"/>
    <col min="2" max="2" width="45.54296875" style="265" bestFit="1" customWidth="1"/>
    <col min="3" max="3" width="22.54296875" style="265" customWidth="1"/>
    <col min="4" max="4" width="15" style="265" customWidth="1"/>
    <col min="5" max="6" width="10.81640625" style="265" customWidth="1"/>
    <col min="7" max="7" width="11.81640625" style="265" customWidth="1"/>
    <col min="8" max="9" width="10.81640625" style="265" customWidth="1"/>
    <col min="10" max="10" width="16.1796875" style="265" customWidth="1"/>
    <col min="11" max="15" width="10.81640625" style="265" customWidth="1"/>
    <col min="16" max="16" width="9.81640625" style="265" customWidth="1"/>
    <col min="17" max="16384" width="9.1796875" style="265"/>
  </cols>
  <sheetData>
    <row r="1" spans="1:17" ht="6" customHeight="1">
      <c r="A1" s="262"/>
      <c r="B1" s="263"/>
      <c r="C1" s="263"/>
      <c r="D1" s="263"/>
      <c r="E1" s="263"/>
      <c r="F1" s="263"/>
      <c r="G1" s="263"/>
      <c r="H1" s="263"/>
      <c r="I1" s="263"/>
      <c r="J1" s="263"/>
      <c r="K1" s="263"/>
      <c r="L1" s="263"/>
      <c r="M1" s="263"/>
      <c r="N1" s="263"/>
      <c r="O1" s="263"/>
      <c r="P1" s="263"/>
      <c r="Q1" s="264"/>
    </row>
    <row r="2" spans="1:17" s="274" customFormat="1" ht="18">
      <c r="A2" s="266"/>
      <c r="B2" s="267" t="str">
        <f>'Cover Sheet'!B2</f>
        <v>SC Germany Consumer 2023-1</v>
      </c>
      <c r="C2" s="267"/>
      <c r="D2" s="939" t="str">
        <f>'Cover Sheet'!D2</f>
        <v>Calculation Date</v>
      </c>
      <c r="E2" s="269"/>
      <c r="F2" s="270">
        <f>'Cover Sheet'!F2</f>
        <v>45973</v>
      </c>
      <c r="G2" s="269"/>
      <c r="H2" s="269"/>
      <c r="I2" s="269"/>
      <c r="J2" s="269"/>
      <c r="K2" s="269"/>
      <c r="L2" s="269"/>
      <c r="M2" s="271"/>
      <c r="N2" s="272"/>
      <c r="O2" s="272"/>
      <c r="P2" s="31"/>
      <c r="Q2" s="273"/>
    </row>
    <row r="3" spans="1:17" s="274" customFormat="1" ht="18">
      <c r="A3" s="266"/>
      <c r="B3" s="267" t="str">
        <f>'Cover Sheet'!B3</f>
        <v>Monthly Investor Report</v>
      </c>
      <c r="C3" s="267"/>
      <c r="D3" s="940" t="str">
        <f>'Cover Sheet'!D3</f>
        <v>Payment Date</v>
      </c>
      <c r="E3" s="276"/>
      <c r="F3" s="277">
        <f>'Cover Sheet'!F3</f>
        <v>45975</v>
      </c>
      <c r="G3" s="276"/>
      <c r="H3" s="276"/>
      <c r="I3" s="276"/>
      <c r="J3" s="276"/>
      <c r="K3" s="276"/>
      <c r="L3" s="276"/>
      <c r="M3" s="278"/>
      <c r="N3" s="279"/>
      <c r="O3" s="279"/>
      <c r="P3" s="31"/>
      <c r="Q3" s="273"/>
    </row>
    <row r="4" spans="1:17" s="274" customFormat="1" ht="13">
      <c r="A4" s="266"/>
      <c r="B4" s="280"/>
      <c r="C4" s="280"/>
      <c r="D4" s="940" t="str">
        <f>'Cover Sheet'!D4</f>
        <v>Period  No</v>
      </c>
      <c r="E4" s="276"/>
      <c r="F4" s="281">
        <f>'Cover Sheet'!F4</f>
        <v>27</v>
      </c>
      <c r="G4" s="276"/>
      <c r="H4" s="282"/>
      <c r="I4" s="276"/>
      <c r="J4" s="276"/>
      <c r="K4" s="276"/>
      <c r="L4" s="276"/>
      <c r="M4" s="283"/>
      <c r="N4" s="272"/>
      <c r="O4" s="272"/>
      <c r="P4" s="31"/>
      <c r="Q4" s="273"/>
    </row>
    <row r="5" spans="1:17" s="274" customFormat="1" ht="18">
      <c r="A5" s="266"/>
      <c r="B5" s="284" t="s">
        <v>367</v>
      </c>
      <c r="C5" s="284"/>
      <c r="D5" s="940" t="str">
        <f>'Cover Sheet'!D5</f>
        <v>Monthly Period</v>
      </c>
      <c r="E5" s="276"/>
      <c r="F5" s="150">
        <f>'Cover Sheet'!F5</f>
        <v>45975</v>
      </c>
      <c r="G5" s="276"/>
      <c r="H5" s="282"/>
      <c r="I5" s="276"/>
      <c r="J5" s="276"/>
      <c r="K5" s="276"/>
      <c r="L5" s="276"/>
      <c r="M5" s="283"/>
      <c r="N5" s="279"/>
      <c r="O5" s="279"/>
      <c r="P5" s="31"/>
      <c r="Q5" s="273"/>
    </row>
    <row r="6" spans="1:17" s="274" customFormat="1" ht="15" customHeight="1">
      <c r="A6" s="266"/>
      <c r="B6" s="285"/>
      <c r="C6" s="285"/>
      <c r="D6" s="941" t="str">
        <f>'Cover Sheet'!D6</f>
        <v>Interest Period</v>
      </c>
      <c r="E6" s="277" t="s">
        <v>34</v>
      </c>
      <c r="F6" s="277">
        <f>'Cover Sheet'!F6</f>
        <v>45944</v>
      </c>
      <c r="G6" s="277" t="s">
        <v>4</v>
      </c>
      <c r="H6" s="277">
        <f>'Cover Sheet'!H6</f>
        <v>45975</v>
      </c>
      <c r="I6" s="287" t="s">
        <v>15</v>
      </c>
      <c r="J6" s="287"/>
      <c r="K6" s="287"/>
      <c r="L6" s="287"/>
      <c r="M6" s="288" t="str">
        <f>'Cover Sheet'!J6</f>
        <v>31 days</v>
      </c>
      <c r="N6" s="279"/>
      <c r="O6" s="279"/>
      <c r="P6" s="31"/>
      <c r="Q6" s="289"/>
    </row>
    <row r="7" spans="1:17" s="274" customFormat="1" ht="13">
      <c r="A7" s="266"/>
      <c r="B7" s="31"/>
      <c r="C7" s="31"/>
      <c r="D7" s="942" t="str">
        <f>'Cover Sheet'!D7</f>
        <v>Collection Period</v>
      </c>
      <c r="E7" s="291" t="s">
        <v>34</v>
      </c>
      <c r="F7" s="291" t="str">
        <f>'Cover Sheet'!F7</f>
        <v>01.10.2025</v>
      </c>
      <c r="G7" s="291" t="s">
        <v>4</v>
      </c>
      <c r="H7" s="291">
        <f>'Cover Sheet'!H7</f>
        <v>45961</v>
      </c>
      <c r="I7" s="292"/>
      <c r="J7" s="292"/>
      <c r="K7" s="292"/>
      <c r="L7" s="292"/>
      <c r="M7" s="293"/>
      <c r="N7" s="279"/>
      <c r="O7" s="279"/>
      <c r="P7" s="31"/>
      <c r="Q7" s="273"/>
    </row>
    <row r="8" spans="1:17" s="274" customFormat="1" ht="13">
      <c r="A8" s="266"/>
      <c r="B8" s="31"/>
      <c r="C8" s="31"/>
      <c r="D8" s="31"/>
      <c r="E8" s="31"/>
      <c r="F8" s="272"/>
      <c r="G8" s="294"/>
      <c r="H8" s="272"/>
      <c r="I8" s="31"/>
      <c r="J8" s="31"/>
      <c r="K8" s="31"/>
      <c r="L8" s="31"/>
      <c r="M8" s="295"/>
      <c r="N8" s="31"/>
      <c r="O8" s="279"/>
      <c r="P8" s="31"/>
      <c r="Q8" s="273"/>
    </row>
    <row r="9" spans="1:17" s="274" customFormat="1" ht="13">
      <c r="A9" s="266"/>
      <c r="B9" s="31"/>
      <c r="C9" s="31"/>
      <c r="D9" s="31"/>
      <c r="E9" s="31"/>
      <c r="F9" s="31"/>
      <c r="G9" s="31"/>
      <c r="H9" s="31"/>
      <c r="I9" s="31"/>
      <c r="J9" s="31"/>
      <c r="K9" s="31"/>
      <c r="L9" s="31"/>
      <c r="M9" s="31"/>
      <c r="N9" s="31"/>
      <c r="O9" s="31"/>
      <c r="P9" s="31"/>
      <c r="Q9" s="296"/>
    </row>
    <row r="10" spans="1:17" s="274" customFormat="1">
      <c r="A10" s="266"/>
      <c r="B10" s="31"/>
      <c r="C10" s="31"/>
      <c r="D10" s="31"/>
      <c r="E10" s="23"/>
      <c r="F10" s="31"/>
      <c r="G10" s="297"/>
      <c r="H10" s="31"/>
      <c r="I10" s="31"/>
      <c r="J10" s="31"/>
      <c r="K10" s="31"/>
      <c r="L10" s="31"/>
      <c r="M10" s="23"/>
      <c r="N10" s="23"/>
      <c r="O10" s="31"/>
      <c r="P10" s="31"/>
      <c r="Q10" s="273"/>
    </row>
    <row r="11" spans="1:17" s="274" customFormat="1" ht="17.5">
      <c r="A11" s="266"/>
      <c r="B11" s="298"/>
      <c r="C11" s="298"/>
      <c r="D11" s="31"/>
      <c r="E11" s="23"/>
      <c r="F11" s="31"/>
      <c r="G11" s="23"/>
      <c r="H11" s="299"/>
      <c r="I11" s="299"/>
      <c r="J11" s="299"/>
      <c r="K11" s="299"/>
      <c r="L11" s="299"/>
      <c r="M11" s="23"/>
      <c r="N11" s="31"/>
      <c r="O11" s="31"/>
      <c r="P11" s="31"/>
      <c r="Q11" s="300"/>
    </row>
    <row r="12" spans="1:17" s="274" customFormat="1">
      <c r="A12" s="266"/>
      <c r="B12" s="31"/>
      <c r="C12" s="31"/>
      <c r="D12" s="23"/>
      <c r="E12" s="23"/>
      <c r="F12" s="23"/>
      <c r="G12" s="23"/>
      <c r="H12" s="301"/>
      <c r="I12" s="301"/>
      <c r="J12" s="301"/>
      <c r="K12" s="301"/>
      <c r="L12" s="301"/>
      <c r="M12" s="23"/>
      <c r="N12" s="23"/>
      <c r="O12" s="31"/>
      <c r="P12" s="31"/>
      <c r="Q12" s="300"/>
    </row>
    <row r="13" spans="1:17" s="274" customFormat="1" ht="18">
      <c r="A13" s="266"/>
      <c r="B13" s="302" t="s">
        <v>260</v>
      </c>
      <c r="C13" s="302"/>
      <c r="D13" s="23"/>
      <c r="E13" s="303"/>
      <c r="F13" s="303"/>
      <c r="G13" s="304"/>
      <c r="H13" s="305"/>
      <c r="I13" s="305"/>
      <c r="J13" s="305"/>
      <c r="K13" s="305"/>
      <c r="L13" s="305"/>
      <c r="M13" s="306"/>
      <c r="N13" s="23"/>
      <c r="O13" s="31"/>
      <c r="P13" s="31"/>
      <c r="Q13" s="300"/>
    </row>
    <row r="14" spans="1:17" s="274" customFormat="1" ht="12.75" customHeight="1">
      <c r="A14" s="266"/>
      <c r="B14" s="23" t="s">
        <v>261</v>
      </c>
      <c r="C14" s="307" t="s">
        <v>576</v>
      </c>
      <c r="D14" s="31"/>
      <c r="E14" s="308"/>
      <c r="F14" s="309"/>
      <c r="G14" s="310"/>
      <c r="H14" s="310"/>
      <c r="I14" s="311"/>
      <c r="J14" s="311"/>
      <c r="K14" s="311"/>
      <c r="L14" s="311"/>
      <c r="M14" s="305"/>
      <c r="N14" s="23"/>
      <c r="O14" s="31"/>
      <c r="P14" s="31"/>
      <c r="Q14" s="300"/>
    </row>
    <row r="15" spans="1:17">
      <c r="A15" s="312"/>
      <c r="B15" s="43" t="s">
        <v>262</v>
      </c>
      <c r="C15" s="974" t="s">
        <v>43</v>
      </c>
      <c r="D15" s="23"/>
      <c r="E15" s="23"/>
      <c r="F15" s="313"/>
      <c r="G15" s="314"/>
      <c r="H15" s="315"/>
      <c r="I15" s="314"/>
      <c r="J15" s="314"/>
      <c r="K15" s="314"/>
      <c r="L15" s="314"/>
      <c r="M15" s="314"/>
      <c r="N15" s="23"/>
      <c r="O15" s="23"/>
      <c r="P15" s="23"/>
      <c r="Q15" s="300"/>
    </row>
    <row r="16" spans="1:17" ht="13" thickBot="1">
      <c r="A16" s="312"/>
      <c r="B16" s="13"/>
      <c r="C16" s="80"/>
      <c r="D16" s="30" t="s">
        <v>551</v>
      </c>
      <c r="E16" s="30" t="s">
        <v>407</v>
      </c>
      <c r="F16" s="30" t="s">
        <v>409</v>
      </c>
      <c r="G16" s="30" t="s">
        <v>412</v>
      </c>
      <c r="H16" s="30" t="s">
        <v>408</v>
      </c>
      <c r="I16" s="30" t="s">
        <v>242</v>
      </c>
      <c r="J16" s="33"/>
      <c r="K16" s="33"/>
      <c r="L16" s="33"/>
      <c r="M16" s="314"/>
      <c r="N16" s="23"/>
      <c r="O16" s="23"/>
      <c r="P16" s="23"/>
      <c r="Q16" s="300"/>
    </row>
    <row r="17" spans="1:17" ht="13" thickBot="1">
      <c r="A17" s="312"/>
      <c r="B17" s="23"/>
      <c r="C17" s="23"/>
      <c r="D17" s="1057" t="s">
        <v>240</v>
      </c>
      <c r="E17" s="1058"/>
      <c r="F17" s="1058"/>
      <c r="G17" s="1057" t="s">
        <v>241</v>
      </c>
      <c r="H17" s="1058"/>
      <c r="I17" s="1059"/>
      <c r="J17" s="1057" t="s">
        <v>575</v>
      </c>
      <c r="K17" s="1058"/>
      <c r="L17" s="1059"/>
      <c r="M17" s="23"/>
      <c r="N17" s="23"/>
      <c r="O17" s="23"/>
      <c r="P17" s="23"/>
      <c r="Q17" s="300"/>
    </row>
    <row r="18" spans="1:17" ht="81" customHeight="1">
      <c r="A18" s="312"/>
      <c r="B18" s="316" t="s">
        <v>264</v>
      </c>
      <c r="C18" s="317" t="s">
        <v>265</v>
      </c>
      <c r="D18" s="81" t="s">
        <v>549</v>
      </c>
      <c r="E18" s="81" t="s">
        <v>108</v>
      </c>
      <c r="F18" s="81" t="s">
        <v>109</v>
      </c>
      <c r="G18" s="82" t="s">
        <v>266</v>
      </c>
      <c r="H18" s="82" t="s">
        <v>108</v>
      </c>
      <c r="I18" s="82" t="s">
        <v>109</v>
      </c>
      <c r="J18" s="948" t="s">
        <v>781</v>
      </c>
      <c r="K18" s="82" t="s">
        <v>109</v>
      </c>
      <c r="L18" s="318" t="s">
        <v>267</v>
      </c>
      <c r="M18" s="23"/>
      <c r="N18" s="23"/>
      <c r="O18" s="23"/>
      <c r="P18" s="297"/>
      <c r="Q18" s="109"/>
    </row>
    <row r="19" spans="1:17" ht="8.25" customHeight="1">
      <c r="A19" s="312"/>
      <c r="B19" s="319"/>
      <c r="C19" s="36"/>
      <c r="D19" s="320" t="s">
        <v>551</v>
      </c>
      <c r="E19" s="320" t="s">
        <v>407</v>
      </c>
      <c r="F19" s="320" t="s">
        <v>409</v>
      </c>
      <c r="G19" s="321" t="s">
        <v>412</v>
      </c>
      <c r="H19" s="322" t="s">
        <v>408</v>
      </c>
      <c r="I19" s="323" t="s">
        <v>242</v>
      </c>
      <c r="J19" s="321" t="s">
        <v>789</v>
      </c>
      <c r="K19" s="322" t="s">
        <v>790</v>
      </c>
      <c r="L19" s="324"/>
      <c r="M19" s="23"/>
      <c r="N19" s="23"/>
      <c r="O19" s="23"/>
      <c r="P19" s="297"/>
      <c r="Q19" s="109"/>
    </row>
    <row r="20" spans="1:17" ht="25">
      <c r="A20" s="312"/>
      <c r="B20" s="319" t="s">
        <v>268</v>
      </c>
      <c r="C20" s="325" t="s">
        <v>390</v>
      </c>
      <c r="D20" s="100" t="s">
        <v>393</v>
      </c>
      <c r="E20" s="100" t="s">
        <v>394</v>
      </c>
      <c r="F20" s="100"/>
      <c r="G20" s="100" t="s">
        <v>391</v>
      </c>
      <c r="H20" s="100"/>
      <c r="I20" s="100"/>
      <c r="J20" s="100" t="s">
        <v>393</v>
      </c>
      <c r="K20" s="100"/>
      <c r="L20" s="326" t="s">
        <v>43</v>
      </c>
      <c r="M20" s="319"/>
      <c r="N20" s="23"/>
      <c r="O20" s="23"/>
      <c r="P20" s="297"/>
      <c r="Q20" s="109"/>
    </row>
    <row r="21" spans="1:17" ht="7.5" customHeight="1">
      <c r="A21" s="312"/>
      <c r="B21" s="319"/>
      <c r="C21" s="36"/>
      <c r="D21" s="937"/>
      <c r="E21" s="937"/>
      <c r="F21" s="937"/>
      <c r="G21" s="327"/>
      <c r="H21" s="937"/>
      <c r="I21" s="108"/>
      <c r="J21" s="327"/>
      <c r="K21" s="937"/>
      <c r="L21" s="937"/>
      <c r="M21" s="319"/>
      <c r="N21" s="23"/>
      <c r="O21" s="23"/>
      <c r="P21" s="297"/>
      <c r="Q21" s="109"/>
    </row>
    <row r="22" spans="1:17" ht="25.5" customHeight="1">
      <c r="A22" s="312"/>
      <c r="B22" s="319" t="s">
        <v>269</v>
      </c>
      <c r="C22" s="325" t="s">
        <v>443</v>
      </c>
      <c r="D22" s="100" t="s">
        <v>395</v>
      </c>
      <c r="E22" s="100" t="s">
        <v>396</v>
      </c>
      <c r="F22" s="100"/>
      <c r="G22" s="100" t="s">
        <v>392</v>
      </c>
      <c r="H22" s="100"/>
      <c r="I22" s="100"/>
      <c r="J22" s="100" t="s">
        <v>780</v>
      </c>
      <c r="K22" s="100"/>
      <c r="L22" s="326" t="s">
        <v>43</v>
      </c>
      <c r="M22" s="319"/>
      <c r="N22" s="23"/>
      <c r="O22" s="23"/>
      <c r="P22" s="297"/>
      <c r="Q22" s="109"/>
    </row>
    <row r="23" spans="1:17" ht="9" customHeight="1">
      <c r="A23" s="312"/>
      <c r="B23" s="83"/>
      <c r="C23" s="97"/>
      <c r="D23" s="98"/>
      <c r="E23" s="937"/>
      <c r="F23" s="328"/>
      <c r="G23" s="329"/>
      <c r="H23" s="937"/>
      <c r="I23" s="108"/>
      <c r="J23" s="329"/>
      <c r="K23" s="937"/>
      <c r="L23" s="324"/>
      <c r="M23" s="23"/>
      <c r="N23" s="23"/>
      <c r="O23" s="23"/>
      <c r="P23" s="297"/>
      <c r="Q23" s="109"/>
    </row>
    <row r="24" spans="1:17" ht="13">
      <c r="A24" s="312"/>
      <c r="B24" s="330" t="s">
        <v>270</v>
      </c>
      <c r="C24" s="331"/>
      <c r="D24" s="100" t="str">
        <f>VLOOKUP($C$14,ratings,12,FALSE)</f>
        <v>AA(dcr)</v>
      </c>
      <c r="E24" s="100" t="str">
        <f>VLOOKUP($C$14,ratings,10,FALSE)</f>
        <v>F1+</v>
      </c>
      <c r="F24" s="100" t="str">
        <f>VLOOKUP($C$14,ratings,11,FALSE)</f>
        <v>STABLE</v>
      </c>
      <c r="G24" s="100" t="str">
        <f>VLOOKUP($C$14,ratings,2,FALSE)</f>
        <v>Aa2(cr)</v>
      </c>
      <c r="H24" s="100" t="str">
        <f>VLOOKUP($C$14,ratings,5,FALSE)</f>
        <v>P-1</v>
      </c>
      <c r="I24" s="100" t="str">
        <f>VLOOKUP($C$14,ratings,6,FALSE)</f>
        <v>STABLE</v>
      </c>
      <c r="J24" s="100" t="str">
        <f>VLOOKUP($C$14,ratings,13,FALSE)</f>
        <v>AAL</v>
      </c>
      <c r="K24" s="100" t="str">
        <f>VLOOKUP($C$14,ratings,16,FALSE)</f>
        <v>STABLE</v>
      </c>
      <c r="L24" s="332"/>
      <c r="M24" s="23"/>
      <c r="N24" s="23"/>
      <c r="O24" s="23"/>
      <c r="P24" s="297"/>
      <c r="Q24" s="109"/>
    </row>
    <row r="25" spans="1:17" ht="13.5" thickBot="1">
      <c r="A25" s="312"/>
      <c r="B25" s="333"/>
      <c r="C25" s="334"/>
      <c r="D25" s="84"/>
      <c r="E25" s="84"/>
      <c r="F25" s="84"/>
      <c r="G25" s="84"/>
      <c r="H25" s="84"/>
      <c r="I25" s="84"/>
      <c r="J25" s="84"/>
      <c r="K25" s="84"/>
      <c r="L25" s="335"/>
      <c r="M25" s="23"/>
      <c r="N25" s="23"/>
      <c r="O25" s="23"/>
      <c r="P25" s="297"/>
      <c r="Q25" s="109"/>
    </row>
    <row r="26" spans="1:17" ht="13">
      <c r="A26" s="312"/>
      <c r="B26" s="23"/>
      <c r="C26" s="23"/>
      <c r="D26" s="85"/>
      <c r="E26" s="85"/>
      <c r="F26" s="85"/>
      <c r="G26" s="85"/>
      <c r="H26" s="85"/>
      <c r="I26" s="85"/>
      <c r="J26" s="85"/>
      <c r="K26" s="85"/>
      <c r="L26" s="85"/>
      <c r="M26" s="85"/>
      <c r="N26" s="85"/>
      <c r="O26" s="85"/>
      <c r="P26" s="23"/>
      <c r="Q26" s="300"/>
    </row>
    <row r="27" spans="1:17" ht="18">
      <c r="A27" s="312"/>
      <c r="B27" s="267" t="s">
        <v>271</v>
      </c>
      <c r="C27" s="267"/>
      <c r="D27" s="79"/>
      <c r="E27" s="302" t="s">
        <v>272</v>
      </c>
      <c r="F27" s="23"/>
      <c r="G27" s="314"/>
      <c r="H27" s="315"/>
      <c r="I27" s="302" t="s">
        <v>273</v>
      </c>
      <c r="J27" s="302"/>
      <c r="K27" s="302"/>
      <c r="L27" s="302"/>
      <c r="M27" s="80"/>
      <c r="N27" s="23"/>
      <c r="O27" s="23"/>
      <c r="P27" s="23"/>
      <c r="Q27" s="300"/>
    </row>
    <row r="28" spans="1:17">
      <c r="A28" s="312"/>
      <c r="B28" s="23" t="s">
        <v>274</v>
      </c>
      <c r="C28" s="86" t="s">
        <v>275</v>
      </c>
      <c r="D28" s="23"/>
      <c r="E28" s="307" t="s">
        <v>576</v>
      </c>
      <c r="F28" s="23"/>
      <c r="G28" s="314"/>
      <c r="H28" s="315"/>
      <c r="I28" s="86" t="s">
        <v>276</v>
      </c>
      <c r="J28" s="86"/>
      <c r="K28" s="86"/>
      <c r="L28" s="86"/>
      <c r="M28" s="23"/>
      <c r="N28" s="23"/>
      <c r="O28" s="87" t="str">
        <f>C14</f>
        <v>DZ Bank AG</v>
      </c>
      <c r="P28" s="23"/>
      <c r="Q28" s="300"/>
    </row>
    <row r="29" spans="1:17" ht="13">
      <c r="A29" s="312"/>
      <c r="B29" s="43" t="s">
        <v>277</v>
      </c>
      <c r="C29" s="1000">
        <f>VLOOKUP("Swap_Notional_amount",calcdata,2,0)</f>
        <v>493887303.60000002</v>
      </c>
      <c r="D29" s="23"/>
      <c r="E29" s="86" t="s">
        <v>761</v>
      </c>
      <c r="F29" s="23"/>
      <c r="G29" s="337"/>
      <c r="H29" s="338"/>
      <c r="I29" s="86" t="s">
        <v>278</v>
      </c>
      <c r="J29" s="86"/>
      <c r="K29" s="86"/>
      <c r="L29" s="86"/>
      <c r="M29" s="23"/>
      <c r="N29" s="23"/>
      <c r="O29" s="87" t="str">
        <f>C14</f>
        <v>DZ Bank AG</v>
      </c>
      <c r="P29" s="23"/>
      <c r="Q29" s="300"/>
    </row>
    <row r="30" spans="1:17">
      <c r="A30" s="312"/>
      <c r="B30" s="43" t="s">
        <v>279</v>
      </c>
      <c r="C30" s="88">
        <f>VLOOKUP("Fixed_Rate",calcdata,2,0)</f>
        <v>3.1899999999999998E-2</v>
      </c>
      <c r="D30" s="23"/>
      <c r="E30" s="86" t="s">
        <v>762</v>
      </c>
      <c r="F30" s="23"/>
      <c r="G30" s="23"/>
      <c r="H30" s="31"/>
      <c r="I30" s="31"/>
      <c r="J30" s="31"/>
      <c r="K30" s="31"/>
      <c r="L30" s="31"/>
      <c r="M30" s="23"/>
      <c r="N30" s="23"/>
      <c r="O30" s="23"/>
      <c r="P30" s="23"/>
      <c r="Q30" s="300"/>
    </row>
    <row r="31" spans="1:17">
      <c r="A31" s="312"/>
      <c r="B31" s="43" t="s">
        <v>280</v>
      </c>
      <c r="C31" s="88">
        <f>VLOOKUP("Floating_Rate",calcdata,2,0)</f>
        <v>1.9199999999999998E-2</v>
      </c>
      <c r="D31" s="23"/>
      <c r="E31" s="86" t="s">
        <v>763</v>
      </c>
      <c r="F31" s="23"/>
      <c r="G31" s="23"/>
      <c r="H31" s="31"/>
      <c r="I31" s="31"/>
      <c r="J31" s="31"/>
      <c r="K31" s="31"/>
      <c r="L31" s="31"/>
      <c r="M31" s="23"/>
      <c r="N31" s="23"/>
      <c r="O31" s="23"/>
      <c r="P31" s="23"/>
      <c r="Q31" s="300"/>
    </row>
    <row r="32" spans="1:17">
      <c r="A32" s="312"/>
      <c r="B32" s="43" t="s">
        <v>281</v>
      </c>
      <c r="C32" s="1000">
        <f>VLOOKUP("Net_Swap_Payments",calcdata,2,0)</f>
        <v>540120.64</v>
      </c>
      <c r="D32" s="23"/>
      <c r="E32" s="86" t="s">
        <v>196</v>
      </c>
      <c r="F32" s="23"/>
      <c r="G32" s="23"/>
      <c r="H32" s="31"/>
      <c r="I32" s="31"/>
      <c r="J32" s="31"/>
      <c r="K32" s="31"/>
      <c r="L32" s="31"/>
      <c r="M32" s="23"/>
      <c r="N32" s="23"/>
      <c r="O32" s="23"/>
      <c r="P32" s="23"/>
      <c r="Q32" s="300"/>
    </row>
    <row r="33" spans="1:17">
      <c r="A33" s="312"/>
      <c r="B33" s="43" t="s">
        <v>282</v>
      </c>
      <c r="C33" s="1000">
        <f>VLOOKUP("Swap_Notional_amount_next",calcdata,2,0)</f>
        <v>477547973.36000001</v>
      </c>
      <c r="D33" s="23"/>
      <c r="E33" s="86" t="s">
        <v>815</v>
      </c>
      <c r="F33" s="23"/>
      <c r="G33" s="23"/>
      <c r="H33" s="23"/>
      <c r="I33" s="23"/>
      <c r="J33" s="23"/>
      <c r="K33" s="23"/>
      <c r="L33" s="23"/>
      <c r="M33" s="23"/>
      <c r="N33" s="23"/>
      <c r="O33" s="23"/>
      <c r="P33" s="23"/>
      <c r="Q33" s="300"/>
    </row>
    <row r="34" spans="1:17">
      <c r="A34" s="312"/>
      <c r="B34" s="13"/>
      <c r="C34" s="23"/>
      <c r="D34" s="23"/>
      <c r="F34" s="23"/>
      <c r="G34" s="23"/>
      <c r="H34" s="23"/>
      <c r="I34" s="23"/>
      <c r="J34" s="23"/>
      <c r="K34" s="23"/>
      <c r="L34" s="23"/>
      <c r="M34" s="23"/>
      <c r="N34" s="23"/>
      <c r="O34" s="23"/>
      <c r="P34" s="23"/>
      <c r="Q34" s="300"/>
    </row>
    <row r="35" spans="1:17" ht="18">
      <c r="A35" s="312"/>
      <c r="B35" s="302" t="s">
        <v>283</v>
      </c>
      <c r="C35" s="339"/>
      <c r="D35" s="23"/>
      <c r="E35" s="23"/>
      <c r="F35" s="23"/>
      <c r="G35" s="23"/>
      <c r="H35" s="23"/>
      <c r="I35" s="23"/>
      <c r="J35" s="23"/>
      <c r="K35" s="23"/>
      <c r="L35" s="23"/>
      <c r="M35" s="23"/>
      <c r="N35" s="23"/>
      <c r="O35" s="23"/>
      <c r="P35" s="23"/>
      <c r="Q35" s="300"/>
    </row>
    <row r="36" spans="1:17">
      <c r="A36" s="312"/>
      <c r="B36" s="23" t="s">
        <v>284</v>
      </c>
      <c r="C36" s="336">
        <v>0</v>
      </c>
      <c r="D36" s="23"/>
      <c r="E36" s="23"/>
      <c r="F36" s="68"/>
      <c r="G36" s="68"/>
      <c r="H36" s="68"/>
      <c r="I36" s="68"/>
      <c r="J36" s="68"/>
      <c r="K36" s="68"/>
      <c r="L36" s="68"/>
      <c r="M36" s="68"/>
      <c r="N36" s="68"/>
      <c r="O36" s="68"/>
      <c r="P36" s="23"/>
      <c r="Q36" s="300"/>
    </row>
    <row r="37" spans="1:17">
      <c r="A37" s="312"/>
      <c r="B37" s="31" t="s">
        <v>80</v>
      </c>
      <c r="C37" s="336">
        <v>0</v>
      </c>
      <c r="D37" s="23"/>
      <c r="E37" s="23"/>
      <c r="F37" s="23"/>
      <c r="G37" s="23"/>
      <c r="H37" s="23"/>
      <c r="I37" s="23"/>
      <c r="J37" s="23"/>
      <c r="K37" s="23"/>
      <c r="L37" s="23"/>
      <c r="M37" s="23"/>
      <c r="N37" s="23"/>
      <c r="O37" s="23"/>
      <c r="P37" s="23"/>
      <c r="Q37" s="300"/>
    </row>
    <row r="38" spans="1:17">
      <c r="A38" s="312"/>
      <c r="B38" s="31" t="s">
        <v>81</v>
      </c>
      <c r="C38" s="336">
        <v>0</v>
      </c>
      <c r="D38" s="12"/>
      <c r="E38" s="223"/>
      <c r="F38" s="12"/>
      <c r="G38" s="224"/>
      <c r="H38" s="225"/>
      <c r="I38" s="224"/>
      <c r="J38" s="224"/>
      <c r="K38" s="224"/>
      <c r="L38" s="224"/>
      <c r="M38" s="306"/>
      <c r="N38" s="23"/>
      <c r="O38" s="23"/>
      <c r="P38" s="23"/>
      <c r="Q38" s="109"/>
    </row>
    <row r="39" spans="1:17" s="23" customFormat="1">
      <c r="A39" s="312"/>
      <c r="B39" s="23" t="s">
        <v>14</v>
      </c>
      <c r="C39" s="336">
        <v>0</v>
      </c>
      <c r="D39" s="937"/>
      <c r="E39" s="937"/>
      <c r="F39" s="937"/>
      <c r="G39" s="224"/>
      <c r="H39" s="225"/>
      <c r="I39" s="224"/>
      <c r="J39" s="224"/>
      <c r="K39" s="224"/>
      <c r="L39" s="224"/>
      <c r="M39" s="306"/>
      <c r="Q39" s="109"/>
    </row>
    <row r="40" spans="1:17" s="23" customFormat="1">
      <c r="A40" s="312"/>
      <c r="B40" s="13"/>
      <c r="C40" s="13"/>
      <c r="D40" s="12"/>
      <c r="E40" s="223"/>
      <c r="F40" s="12"/>
      <c r="G40" s="224"/>
      <c r="H40" s="225"/>
      <c r="I40" s="224"/>
      <c r="J40" s="224"/>
      <c r="K40" s="224"/>
      <c r="L40" s="224"/>
      <c r="M40" s="306"/>
      <c r="Q40" s="109"/>
    </row>
    <row r="41" spans="1:17" s="31" customFormat="1" ht="15" customHeight="1">
      <c r="A41" s="340"/>
      <c r="B41" s="38" t="str">
        <f>VLOOKUP("RatingDate",ratings,17,0)</f>
        <v>Ratings as of 31.10.2025, data source: Bloomberg</v>
      </c>
      <c r="C41" s="27"/>
      <c r="D41" s="1060" t="s">
        <v>550</v>
      </c>
      <c r="E41" s="1061"/>
      <c r="F41" s="1061"/>
      <c r="G41" s="1061"/>
      <c r="H41" s="1061"/>
      <c r="I41" s="341"/>
      <c r="J41" s="341"/>
      <c r="K41" s="341"/>
      <c r="L41" s="341"/>
      <c r="M41" s="342"/>
      <c r="N41" s="343"/>
      <c r="O41" s="343"/>
      <c r="P41" s="343"/>
      <c r="Q41" s="344"/>
    </row>
    <row r="42" spans="1:17" s="31" customFormat="1">
      <c r="B42" s="13"/>
      <c r="C42" s="13"/>
      <c r="D42" s="12"/>
      <c r="E42" s="223"/>
      <c r="F42" s="12"/>
      <c r="G42" s="224"/>
      <c r="H42" s="225"/>
      <c r="I42" s="224"/>
      <c r="J42" s="224"/>
      <c r="K42" s="224"/>
      <c r="L42" s="224"/>
      <c r="M42" s="297"/>
    </row>
    <row r="43" spans="1:17" s="23" customFormat="1">
      <c r="B43" s="13"/>
      <c r="C43" s="13"/>
      <c r="D43" s="12"/>
      <c r="E43" s="223"/>
      <c r="F43" s="12"/>
      <c r="G43" s="224"/>
      <c r="H43" s="225"/>
      <c r="I43" s="224"/>
      <c r="J43" s="224"/>
      <c r="K43" s="224"/>
      <c r="L43" s="224"/>
      <c r="M43" s="306"/>
    </row>
    <row r="44" spans="1:17" s="23" customFormat="1">
      <c r="B44" s="13"/>
      <c r="C44" s="13"/>
      <c r="D44" s="12"/>
      <c r="E44" s="223"/>
      <c r="F44" s="12"/>
      <c r="G44" s="224"/>
      <c r="H44" s="225"/>
      <c r="I44" s="224"/>
      <c r="J44" s="224"/>
      <c r="K44" s="224"/>
      <c r="L44" s="224"/>
      <c r="M44" s="306"/>
    </row>
    <row r="45" spans="1:17" s="23" customFormat="1">
      <c r="B45" s="13"/>
      <c r="C45" s="13"/>
      <c r="D45" s="12"/>
      <c r="E45" s="223"/>
      <c r="F45" s="12"/>
      <c r="G45" s="224"/>
      <c r="H45" s="225"/>
      <c r="I45" s="224"/>
      <c r="J45" s="224"/>
      <c r="K45" s="224"/>
      <c r="L45" s="224"/>
      <c r="M45" s="306"/>
    </row>
    <row r="46" spans="1:17" s="23" customFormat="1">
      <c r="B46" s="13"/>
      <c r="C46" s="13"/>
      <c r="D46" s="12"/>
      <c r="E46" s="223"/>
      <c r="F46" s="12"/>
      <c r="G46" s="224"/>
      <c r="H46" s="225"/>
      <c r="I46" s="224"/>
      <c r="J46" s="224"/>
      <c r="K46" s="224"/>
      <c r="L46" s="224"/>
      <c r="M46" s="306"/>
    </row>
    <row r="47" spans="1:17" s="23" customFormat="1">
      <c r="B47" s="13"/>
      <c r="C47" s="13"/>
      <c r="D47" s="12"/>
      <c r="E47" s="223"/>
      <c r="F47" s="12"/>
      <c r="G47" s="224"/>
      <c r="H47" s="225"/>
      <c r="I47" s="224"/>
      <c r="J47" s="224"/>
      <c r="K47" s="224"/>
      <c r="L47" s="224"/>
      <c r="M47" s="306"/>
    </row>
    <row r="48" spans="1:17" s="23" customFormat="1">
      <c r="B48" s="13"/>
      <c r="C48" s="13"/>
      <c r="D48" s="12"/>
      <c r="E48" s="223"/>
      <c r="F48" s="12"/>
      <c r="G48" s="224"/>
      <c r="H48" s="225"/>
      <c r="I48" s="224"/>
      <c r="J48" s="224"/>
      <c r="K48" s="224"/>
      <c r="L48" s="224"/>
      <c r="M48" s="306"/>
    </row>
    <row r="49" spans="2:13" s="23" customFormat="1">
      <c r="B49" s="13"/>
      <c r="C49" s="13"/>
      <c r="D49" s="12"/>
      <c r="E49" s="223"/>
      <c r="F49" s="12"/>
      <c r="G49" s="224"/>
      <c r="H49" s="225"/>
      <c r="I49" s="224"/>
      <c r="J49" s="224"/>
      <c r="K49" s="224"/>
      <c r="L49" s="224"/>
      <c r="M49" s="306"/>
    </row>
    <row r="50" spans="2:13" s="23" customFormat="1">
      <c r="B50" s="13"/>
      <c r="C50" s="13"/>
      <c r="D50" s="12"/>
      <c r="E50" s="223"/>
      <c r="F50" s="12"/>
      <c r="G50" s="224"/>
      <c r="H50" s="225"/>
      <c r="I50" s="224"/>
      <c r="J50" s="224"/>
      <c r="K50" s="224"/>
      <c r="L50" s="224"/>
      <c r="M50" s="306"/>
    </row>
    <row r="51" spans="2:13" s="23" customFormat="1" ht="18">
      <c r="B51" s="13"/>
      <c r="C51" s="13"/>
      <c r="D51" s="12"/>
      <c r="E51" s="267"/>
      <c r="F51" s="12"/>
      <c r="G51" s="224"/>
      <c r="H51" s="225"/>
      <c r="I51" s="224"/>
      <c r="J51" s="224"/>
      <c r="K51" s="224"/>
      <c r="L51" s="224"/>
      <c r="M51" s="306"/>
    </row>
    <row r="52" spans="2:13" s="23" customFormat="1">
      <c r="B52" s="13"/>
      <c r="C52" s="13"/>
      <c r="D52" s="12"/>
      <c r="E52" s="223"/>
      <c r="F52" s="12"/>
      <c r="G52" s="224"/>
      <c r="H52" s="225"/>
      <c r="I52" s="224"/>
      <c r="J52" s="224"/>
      <c r="K52" s="224"/>
      <c r="L52" s="224"/>
      <c r="M52" s="306"/>
    </row>
    <row r="53" spans="2:13" s="23" customFormat="1">
      <c r="B53" s="13"/>
      <c r="C53" s="13"/>
      <c r="D53" s="12"/>
      <c r="E53" s="223"/>
      <c r="F53" s="12"/>
      <c r="G53" s="224"/>
      <c r="H53" s="225"/>
      <c r="I53" s="224"/>
      <c r="J53" s="224"/>
      <c r="K53" s="224"/>
      <c r="L53" s="224"/>
      <c r="M53" s="306"/>
    </row>
    <row r="54" spans="2:13" s="23" customFormat="1">
      <c r="B54" s="13"/>
      <c r="C54" s="13"/>
      <c r="D54" s="12"/>
      <c r="E54" s="223"/>
      <c r="F54" s="12"/>
      <c r="G54" s="224"/>
      <c r="H54" s="225"/>
      <c r="I54" s="224"/>
      <c r="J54" s="224"/>
      <c r="K54" s="224"/>
      <c r="L54" s="224"/>
      <c r="M54" s="306"/>
    </row>
    <row r="55" spans="2:13" s="23" customFormat="1">
      <c r="B55" s="13"/>
      <c r="C55" s="13"/>
      <c r="D55" s="12"/>
      <c r="E55" s="223"/>
      <c r="F55" s="12"/>
      <c r="G55" s="224"/>
      <c r="H55" s="225"/>
      <c r="I55" s="224"/>
      <c r="J55" s="224"/>
      <c r="K55" s="224"/>
      <c r="L55" s="224"/>
      <c r="M55" s="306"/>
    </row>
    <row r="56" spans="2:13" s="23" customFormat="1">
      <c r="B56" s="13"/>
      <c r="C56" s="13"/>
      <c r="D56" s="12"/>
      <c r="E56" s="223"/>
      <c r="F56" s="12"/>
      <c r="G56" s="224"/>
      <c r="H56" s="225"/>
      <c r="I56" s="224"/>
      <c r="J56" s="224"/>
      <c r="K56" s="224"/>
      <c r="L56" s="224"/>
      <c r="M56" s="306"/>
    </row>
    <row r="57" spans="2:13" s="23" customFormat="1">
      <c r="B57" s="13"/>
      <c r="C57" s="13"/>
      <c r="D57" s="12"/>
      <c r="E57" s="223"/>
      <c r="F57" s="12"/>
      <c r="G57" s="224"/>
      <c r="H57" s="225"/>
      <c r="I57" s="224"/>
      <c r="J57" s="224"/>
      <c r="K57" s="224"/>
      <c r="L57" s="224"/>
      <c r="M57" s="306"/>
    </row>
    <row r="58" spans="2:13" s="23" customFormat="1">
      <c r="B58" s="13"/>
      <c r="C58" s="13"/>
      <c r="D58" s="12"/>
      <c r="E58" s="223"/>
      <c r="F58" s="12"/>
      <c r="G58" s="224"/>
      <c r="H58" s="225"/>
      <c r="I58" s="224"/>
      <c r="J58" s="224"/>
      <c r="K58" s="224"/>
      <c r="L58" s="224"/>
      <c r="M58" s="306"/>
    </row>
    <row r="59" spans="2:13" s="23" customFormat="1">
      <c r="B59" s="13"/>
      <c r="C59" s="13"/>
      <c r="D59" s="12"/>
      <c r="E59" s="223"/>
      <c r="F59" s="12"/>
      <c r="G59" s="224"/>
      <c r="H59" s="225"/>
      <c r="I59" s="224"/>
      <c r="J59" s="224"/>
      <c r="K59" s="224"/>
      <c r="L59" s="224"/>
      <c r="M59" s="306"/>
    </row>
    <row r="60" spans="2:13" s="23" customFormat="1">
      <c r="B60" s="13"/>
      <c r="C60" s="13"/>
      <c r="D60" s="12"/>
      <c r="E60" s="223"/>
      <c r="F60" s="12"/>
      <c r="G60" s="224"/>
      <c r="H60" s="225"/>
      <c r="I60" s="224"/>
      <c r="J60" s="224"/>
      <c r="K60" s="224"/>
      <c r="L60" s="224"/>
      <c r="M60" s="306"/>
    </row>
    <row r="61" spans="2:13" s="23" customFormat="1">
      <c r="B61" s="13"/>
      <c r="C61" s="13"/>
      <c r="D61" s="12"/>
      <c r="E61" s="223"/>
      <c r="F61" s="12"/>
      <c r="G61" s="224"/>
      <c r="H61" s="225"/>
      <c r="I61" s="224"/>
      <c r="J61" s="224"/>
      <c r="K61" s="224"/>
      <c r="L61" s="224"/>
      <c r="M61" s="306"/>
    </row>
    <row r="62" spans="2:13" s="23" customFormat="1">
      <c r="B62" s="13"/>
      <c r="C62" s="13"/>
      <c r="D62" s="12"/>
      <c r="E62" s="223"/>
      <c r="F62" s="12"/>
      <c r="G62" s="224"/>
      <c r="H62" s="225"/>
      <c r="I62" s="224"/>
      <c r="J62" s="224"/>
      <c r="K62" s="224"/>
      <c r="L62" s="224"/>
      <c r="M62" s="306"/>
    </row>
    <row r="63" spans="2:13" s="23" customFormat="1">
      <c r="B63" s="13"/>
      <c r="C63" s="13"/>
      <c r="D63" s="12"/>
      <c r="E63" s="223"/>
      <c r="F63" s="12"/>
      <c r="G63" s="224"/>
      <c r="H63" s="225"/>
      <c r="I63" s="224"/>
      <c r="J63" s="224"/>
      <c r="K63" s="224"/>
      <c r="L63" s="224"/>
      <c r="M63" s="306"/>
    </row>
    <row r="64" spans="2:13" s="23" customFormat="1">
      <c r="B64" s="13"/>
      <c r="C64" s="13"/>
      <c r="D64" s="12"/>
      <c r="E64" s="223"/>
      <c r="F64" s="12"/>
      <c r="G64" s="224"/>
      <c r="H64" s="225"/>
      <c r="I64" s="224"/>
      <c r="J64" s="224"/>
      <c r="K64" s="224"/>
      <c r="L64" s="224"/>
      <c r="M64" s="306"/>
    </row>
    <row r="65" spans="2:13" s="23" customFormat="1">
      <c r="B65" s="13"/>
      <c r="C65" s="13"/>
      <c r="D65" s="12"/>
      <c r="E65" s="223"/>
      <c r="F65" s="12"/>
      <c r="G65" s="224"/>
      <c r="H65" s="225"/>
      <c r="I65" s="224"/>
      <c r="J65" s="224"/>
      <c r="K65" s="224"/>
      <c r="L65" s="224"/>
      <c r="M65" s="306"/>
    </row>
    <row r="66" spans="2:13" s="23" customFormat="1">
      <c r="B66" s="13"/>
      <c r="C66" s="13"/>
      <c r="D66" s="12"/>
      <c r="E66" s="223"/>
      <c r="F66" s="12"/>
      <c r="G66" s="224"/>
      <c r="H66" s="225"/>
      <c r="I66" s="224"/>
      <c r="J66" s="224"/>
      <c r="K66" s="224"/>
      <c r="L66" s="224"/>
      <c r="M66" s="306"/>
    </row>
    <row r="67" spans="2:13" s="23" customFormat="1">
      <c r="B67" s="13"/>
      <c r="C67" s="13"/>
      <c r="D67" s="12"/>
      <c r="E67" s="223"/>
      <c r="F67" s="12"/>
      <c r="G67" s="224"/>
      <c r="H67" s="225"/>
      <c r="I67" s="224"/>
      <c r="J67" s="224"/>
      <c r="K67" s="224"/>
      <c r="L67" s="224"/>
      <c r="M67" s="306"/>
    </row>
    <row r="68" spans="2:13" s="23" customFormat="1">
      <c r="B68" s="13"/>
      <c r="C68" s="13"/>
      <c r="D68" s="12"/>
      <c r="E68" s="223"/>
      <c r="F68" s="12"/>
      <c r="G68" s="224"/>
      <c r="H68" s="225"/>
      <c r="I68" s="224"/>
      <c r="J68" s="224"/>
      <c r="K68" s="224"/>
      <c r="L68" s="224"/>
      <c r="M68" s="306"/>
    </row>
    <row r="69" spans="2:13" s="23" customFormat="1">
      <c r="B69" s="13"/>
      <c r="C69" s="13"/>
      <c r="D69" s="12"/>
      <c r="E69" s="223"/>
      <c r="F69" s="12"/>
      <c r="G69" s="224"/>
      <c r="H69" s="225"/>
      <c r="I69" s="224"/>
      <c r="J69" s="224"/>
      <c r="K69" s="224"/>
      <c r="L69" s="224"/>
      <c r="M69" s="306"/>
    </row>
    <row r="70" spans="2:13" s="23" customFormat="1">
      <c r="B70" s="13"/>
      <c r="C70" s="13"/>
      <c r="D70" s="12"/>
      <c r="E70" s="223"/>
      <c r="F70" s="12"/>
      <c r="G70" s="224"/>
      <c r="H70" s="225"/>
      <c r="I70" s="224"/>
      <c r="J70" s="224"/>
      <c r="K70" s="224"/>
      <c r="L70" s="224"/>
      <c r="M70" s="306"/>
    </row>
    <row r="71" spans="2:13" s="23" customFormat="1">
      <c r="B71" s="13"/>
      <c r="C71" s="13"/>
      <c r="D71" s="12"/>
      <c r="E71" s="345"/>
      <c r="F71" s="346"/>
      <c r="G71" s="259"/>
      <c r="H71" s="347"/>
      <c r="I71" s="259"/>
      <c r="J71" s="259"/>
      <c r="K71" s="259"/>
      <c r="L71" s="259"/>
      <c r="M71" s="306"/>
    </row>
    <row r="72" spans="2:13" s="23" customFormat="1">
      <c r="B72" s="13"/>
      <c r="C72" s="13"/>
      <c r="D72" s="12"/>
      <c r="E72" s="345"/>
      <c r="F72" s="345"/>
      <c r="G72" s="345"/>
      <c r="H72" s="345"/>
      <c r="I72" s="345"/>
      <c r="J72" s="345"/>
      <c r="K72" s="345"/>
      <c r="L72" s="345"/>
      <c r="M72" s="306"/>
    </row>
    <row r="73" spans="2:13" s="23" customFormat="1">
      <c r="B73" s="13"/>
      <c r="C73" s="13"/>
      <c r="D73" s="12"/>
      <c r="E73" s="345"/>
      <c r="F73" s="345"/>
      <c r="G73" s="345"/>
      <c r="H73" s="345"/>
      <c r="I73" s="345"/>
      <c r="J73" s="345"/>
      <c r="K73" s="345"/>
      <c r="L73" s="345"/>
      <c r="M73" s="306"/>
    </row>
    <row r="74" spans="2:13" s="23" customFormat="1">
      <c r="B74" s="13"/>
      <c r="C74" s="13"/>
      <c r="D74" s="12"/>
      <c r="E74" s="230"/>
      <c r="F74" s="260"/>
      <c r="G74" s="345"/>
      <c r="H74" s="345"/>
      <c r="I74" s="345"/>
      <c r="J74" s="345"/>
      <c r="K74" s="345"/>
      <c r="L74" s="345"/>
      <c r="M74" s="306"/>
    </row>
    <row r="75" spans="2:13" s="23" customFormat="1">
      <c r="B75" s="13"/>
      <c r="C75" s="13"/>
      <c r="D75" s="12"/>
      <c r="E75" s="346"/>
      <c r="F75" s="260"/>
      <c r="G75" s="345"/>
      <c r="H75" s="345"/>
      <c r="I75" s="345"/>
      <c r="J75" s="345"/>
      <c r="K75" s="345"/>
      <c r="L75" s="345"/>
      <c r="M75" s="306"/>
    </row>
    <row r="76" spans="2:13" s="23" customFormat="1">
      <c r="B76" s="13"/>
      <c r="C76" s="13"/>
      <c r="D76" s="12"/>
      <c r="E76" s="345"/>
      <c r="F76" s="260"/>
      <c r="G76" s="345"/>
      <c r="H76" s="345"/>
      <c r="I76" s="345"/>
      <c r="J76" s="345"/>
      <c r="K76" s="345"/>
      <c r="L76" s="345"/>
      <c r="M76" s="306"/>
    </row>
    <row r="77" spans="2:13" s="23" customFormat="1" ht="14">
      <c r="B77" s="13"/>
      <c r="C77" s="345"/>
      <c r="D77" s="346"/>
      <c r="E77" s="348"/>
      <c r="F77" s="348"/>
      <c r="G77" s="348"/>
      <c r="H77" s="348"/>
      <c r="I77" s="348"/>
      <c r="J77" s="348"/>
      <c r="K77" s="348"/>
      <c r="L77" s="348"/>
      <c r="M77" s="306"/>
    </row>
    <row r="78" spans="2:13" s="23" customFormat="1" ht="14">
      <c r="B78" s="345"/>
      <c r="C78" s="31"/>
      <c r="D78" s="31"/>
      <c r="E78" s="348"/>
      <c r="F78" s="348"/>
      <c r="G78" s="348"/>
      <c r="H78" s="348"/>
      <c r="I78" s="348"/>
      <c r="J78" s="348"/>
      <c r="K78" s="348"/>
      <c r="L78" s="348"/>
      <c r="M78" s="306"/>
    </row>
    <row r="79" spans="2:13" s="23" customFormat="1" ht="14">
      <c r="B79" s="31"/>
      <c r="C79" s="31"/>
      <c r="D79" s="31"/>
      <c r="E79" s="233"/>
      <c r="F79" s="261"/>
      <c r="G79" s="348"/>
      <c r="H79" s="348"/>
      <c r="I79" s="348"/>
      <c r="J79" s="348"/>
      <c r="K79" s="348"/>
      <c r="L79" s="348"/>
      <c r="M79" s="306"/>
    </row>
    <row r="80" spans="2:13" s="23" customFormat="1" ht="14">
      <c r="B80" s="31"/>
      <c r="C80" s="230"/>
      <c r="D80" s="260"/>
      <c r="E80" s="349"/>
      <c r="F80" s="261"/>
      <c r="G80" s="348"/>
      <c r="H80" s="348"/>
      <c r="I80" s="348"/>
      <c r="J80" s="348"/>
      <c r="K80" s="348"/>
      <c r="L80" s="348"/>
      <c r="M80" s="306"/>
    </row>
    <row r="81" spans="2:13" s="23" customFormat="1" ht="14">
      <c r="B81" s="230"/>
      <c r="C81" s="350"/>
      <c r="D81" s="260"/>
      <c r="E81" s="348"/>
      <c r="F81" s="261"/>
      <c r="G81" s="348"/>
      <c r="H81" s="348"/>
      <c r="I81" s="348"/>
      <c r="J81" s="348"/>
      <c r="K81" s="348"/>
      <c r="L81" s="348"/>
      <c r="M81" s="306"/>
    </row>
    <row r="82" spans="2:13" s="23" customFormat="1">
      <c r="B82" s="350"/>
      <c r="D82" s="260"/>
      <c r="M82" s="306"/>
    </row>
    <row r="83" spans="2:13" s="23" customFormat="1">
      <c r="M83" s="306"/>
    </row>
    <row r="84" spans="2:13" s="23" customFormat="1">
      <c r="M84" s="306"/>
    </row>
    <row r="85" spans="2:13" s="23" customFormat="1">
      <c r="M85" s="306"/>
    </row>
    <row r="86" spans="2:13" s="23" customFormat="1">
      <c r="M86" s="306"/>
    </row>
    <row r="87" spans="2:13" s="23" customFormat="1">
      <c r="M87" s="306"/>
    </row>
    <row r="88" spans="2:13" s="23" customFormat="1">
      <c r="M88" s="306"/>
    </row>
    <row r="89" spans="2:13" s="23" customFormat="1">
      <c r="M89" s="306"/>
    </row>
    <row r="90" spans="2:13" s="23" customFormat="1">
      <c r="M90" s="306"/>
    </row>
    <row r="91" spans="2:13" s="23" customFormat="1">
      <c r="M91" s="306"/>
    </row>
    <row r="92" spans="2:13" s="23" customFormat="1">
      <c r="M92" s="306"/>
    </row>
    <row r="93" spans="2:13" s="23" customFormat="1">
      <c r="M93" s="306"/>
    </row>
    <row r="94" spans="2:13" s="23" customFormat="1">
      <c r="M94" s="306"/>
    </row>
    <row r="95" spans="2:13" s="23" customFormat="1">
      <c r="M95" s="306"/>
    </row>
    <row r="96" spans="2:13" s="23" customFormat="1">
      <c r="M96" s="306"/>
    </row>
    <row r="97" spans="13:13" s="23" customFormat="1">
      <c r="M97" s="306"/>
    </row>
    <row r="98" spans="13:13" s="23" customFormat="1">
      <c r="M98" s="306"/>
    </row>
    <row r="99" spans="13:13" s="23" customFormat="1">
      <c r="M99" s="306"/>
    </row>
    <row r="100" spans="13:13" s="23" customFormat="1">
      <c r="M100" s="306"/>
    </row>
    <row r="101" spans="13:13" s="23" customFormat="1">
      <c r="M101" s="306"/>
    </row>
    <row r="102" spans="13:13" s="23" customFormat="1">
      <c r="M102" s="306"/>
    </row>
    <row r="103" spans="13:13" s="23" customFormat="1">
      <c r="M103" s="306"/>
    </row>
    <row r="104" spans="13:13" s="23" customFormat="1">
      <c r="M104" s="306"/>
    </row>
    <row r="105" spans="13:13" s="23" customFormat="1">
      <c r="M105" s="306"/>
    </row>
    <row r="106" spans="13:13" s="23" customFormat="1">
      <c r="M106" s="306"/>
    </row>
    <row r="107" spans="13:13" s="23" customFormat="1">
      <c r="M107" s="306"/>
    </row>
    <row r="108" spans="13:13" s="23" customFormat="1">
      <c r="M108" s="306"/>
    </row>
    <row r="109" spans="13:13" s="23" customFormat="1">
      <c r="M109" s="306"/>
    </row>
    <row r="110" spans="13:13" s="23" customFormat="1">
      <c r="M110" s="306"/>
    </row>
    <row r="111" spans="13:13" s="23" customFormat="1">
      <c r="M111" s="306"/>
    </row>
    <row r="112" spans="13:13" s="23" customFormat="1">
      <c r="M112" s="306"/>
    </row>
    <row r="113" spans="13:13" s="23" customFormat="1">
      <c r="M113" s="306"/>
    </row>
    <row r="114" spans="13:13" s="23" customFormat="1">
      <c r="M114" s="306"/>
    </row>
    <row r="115" spans="13:13" s="23" customFormat="1">
      <c r="M115" s="306"/>
    </row>
    <row r="116" spans="13:13" s="23" customFormat="1">
      <c r="M116" s="306"/>
    </row>
    <row r="117" spans="13:13" s="23" customFormat="1">
      <c r="M117" s="306"/>
    </row>
    <row r="118" spans="13:13" s="23" customFormat="1">
      <c r="M118" s="306"/>
    </row>
    <row r="119" spans="13:13" s="23" customFormat="1">
      <c r="M119" s="306"/>
    </row>
    <row r="120" spans="13:13" s="23" customFormat="1">
      <c r="M120" s="306"/>
    </row>
    <row r="121" spans="13:13" s="23" customFormat="1">
      <c r="M121" s="306"/>
    </row>
    <row r="122" spans="13:13" s="23" customFormat="1">
      <c r="M122" s="306"/>
    </row>
    <row r="123" spans="13:13" s="23" customFormat="1">
      <c r="M123" s="306"/>
    </row>
    <row r="124" spans="13:13" s="23" customFormat="1">
      <c r="M124" s="306"/>
    </row>
    <row r="125" spans="13:13" s="23" customFormat="1">
      <c r="M125" s="306"/>
    </row>
    <row r="126" spans="13:13" s="23" customFormat="1">
      <c r="M126" s="306"/>
    </row>
    <row r="127" spans="13:13" s="23" customFormat="1">
      <c r="M127" s="306"/>
    </row>
    <row r="128" spans="13:13" s="23" customFormat="1">
      <c r="M128" s="306"/>
    </row>
    <row r="129" spans="13:13" s="23" customFormat="1">
      <c r="M129" s="306"/>
    </row>
    <row r="130" spans="13:13" s="23" customFormat="1">
      <c r="M130" s="306"/>
    </row>
    <row r="131" spans="13:13" s="23" customFormat="1">
      <c r="M131" s="306"/>
    </row>
    <row r="132" spans="13:13" s="23" customFormat="1">
      <c r="M132" s="306"/>
    </row>
    <row r="133" spans="13:13" s="23" customFormat="1">
      <c r="M133" s="306"/>
    </row>
    <row r="134" spans="13:13" s="23" customFormat="1">
      <c r="M134" s="306"/>
    </row>
    <row r="135" spans="13:13" s="23" customFormat="1">
      <c r="M135" s="306"/>
    </row>
    <row r="136" spans="13:13" s="23" customFormat="1">
      <c r="M136" s="306"/>
    </row>
    <row r="137" spans="13:13" s="23" customFormat="1">
      <c r="M137" s="306"/>
    </row>
    <row r="138" spans="13:13" s="23" customFormat="1">
      <c r="M138" s="306"/>
    </row>
    <row r="139" spans="13:13" s="23" customFormat="1">
      <c r="M139" s="306"/>
    </row>
    <row r="140" spans="13:13" s="23" customFormat="1">
      <c r="M140" s="306"/>
    </row>
    <row r="141" spans="13:13" s="23" customFormat="1">
      <c r="M141" s="306"/>
    </row>
    <row r="142" spans="13:13" s="23" customFormat="1">
      <c r="M142" s="306"/>
    </row>
    <row r="143" spans="13:13" s="23" customFormat="1">
      <c r="M143" s="306"/>
    </row>
    <row r="144" spans="13:13" s="23" customFormat="1">
      <c r="M144" s="306"/>
    </row>
    <row r="145" spans="13:13" s="23" customFormat="1">
      <c r="M145" s="306"/>
    </row>
    <row r="146" spans="13:13" s="23" customFormat="1">
      <c r="M146" s="306"/>
    </row>
    <row r="147" spans="13:13" s="23" customFormat="1">
      <c r="M147" s="306"/>
    </row>
    <row r="148" spans="13:13" s="23" customFormat="1">
      <c r="M148" s="306"/>
    </row>
    <row r="149" spans="13:13" s="23" customFormat="1">
      <c r="M149" s="306"/>
    </row>
    <row r="150" spans="13:13" s="23" customFormat="1">
      <c r="M150" s="306"/>
    </row>
    <row r="151" spans="13:13" s="23" customFormat="1">
      <c r="M151" s="306"/>
    </row>
    <row r="152" spans="13:13" s="23" customFormat="1">
      <c r="M152" s="306"/>
    </row>
    <row r="153" spans="13:13" s="23" customFormat="1">
      <c r="M153" s="306"/>
    </row>
    <row r="154" spans="13:13" s="23" customFormat="1">
      <c r="M154" s="306"/>
    </row>
    <row r="155" spans="13:13" s="23" customFormat="1">
      <c r="M155" s="306"/>
    </row>
    <row r="156" spans="13:13" s="23" customFormat="1">
      <c r="M156" s="306"/>
    </row>
    <row r="157" spans="13:13" s="23" customFormat="1">
      <c r="M157" s="306"/>
    </row>
    <row r="158" spans="13:13" s="23" customFormat="1">
      <c r="M158" s="306"/>
    </row>
    <row r="159" spans="13:13" s="23" customFormat="1">
      <c r="M159" s="306"/>
    </row>
    <row r="160" spans="13:13" s="23" customFormat="1">
      <c r="M160" s="306"/>
    </row>
    <row r="161" spans="13:13" s="23" customFormat="1">
      <c r="M161" s="306"/>
    </row>
    <row r="162" spans="13:13" s="23" customFormat="1">
      <c r="M162" s="306"/>
    </row>
    <row r="163" spans="13:13" s="23" customFormat="1">
      <c r="M163" s="306"/>
    </row>
    <row r="164" spans="13:13" s="23" customFormat="1">
      <c r="M164" s="306"/>
    </row>
    <row r="165" spans="13:13" s="23" customFormat="1">
      <c r="M165" s="306"/>
    </row>
    <row r="166" spans="13:13" s="23" customFormat="1">
      <c r="M166" s="306"/>
    </row>
    <row r="167" spans="13:13" s="23" customFormat="1">
      <c r="M167" s="306"/>
    </row>
    <row r="168" spans="13:13" s="23" customFormat="1">
      <c r="M168" s="306"/>
    </row>
    <row r="169" spans="13:13" s="23" customFormat="1">
      <c r="M169" s="306"/>
    </row>
    <row r="170" spans="13:13" s="23" customFormat="1">
      <c r="M170" s="306"/>
    </row>
    <row r="171" spans="13:13" s="23" customFormat="1">
      <c r="M171" s="306"/>
    </row>
    <row r="172" spans="13:13" s="23" customFormat="1">
      <c r="M172" s="306"/>
    </row>
    <row r="173" spans="13:13" s="23" customFormat="1">
      <c r="M173" s="306"/>
    </row>
    <row r="174" spans="13:13" s="23" customFormat="1">
      <c r="M174" s="306"/>
    </row>
    <row r="175" spans="13:13" s="23" customFormat="1">
      <c r="M175" s="306"/>
    </row>
    <row r="176" spans="13:13" s="23" customFormat="1">
      <c r="M176" s="306"/>
    </row>
    <row r="177" spans="13:13" s="23" customFormat="1">
      <c r="M177" s="306"/>
    </row>
    <row r="178" spans="13:13" s="23" customFormat="1">
      <c r="M178" s="306"/>
    </row>
    <row r="179" spans="13:13" s="23" customFormat="1">
      <c r="M179" s="306"/>
    </row>
    <row r="180" spans="13:13" s="23" customFormat="1">
      <c r="M180" s="306"/>
    </row>
    <row r="181" spans="13:13" s="23" customFormat="1">
      <c r="M181" s="306"/>
    </row>
    <row r="182" spans="13:13" s="23" customFormat="1">
      <c r="M182" s="306"/>
    </row>
    <row r="183" spans="13:13" s="23" customFormat="1">
      <c r="M183" s="306"/>
    </row>
    <row r="184" spans="13:13" s="23" customFormat="1">
      <c r="M184" s="306"/>
    </row>
    <row r="185" spans="13:13" s="23" customFormat="1">
      <c r="M185" s="306"/>
    </row>
    <row r="186" spans="13:13" s="23" customFormat="1">
      <c r="M186" s="306"/>
    </row>
    <row r="187" spans="13:13" s="23" customFormat="1">
      <c r="M187" s="306"/>
    </row>
    <row r="188" spans="13:13" s="23" customFormat="1">
      <c r="M188" s="306"/>
    </row>
    <row r="189" spans="13:13" s="23" customFormat="1">
      <c r="M189" s="306"/>
    </row>
    <row r="190" spans="13:13" s="23" customFormat="1">
      <c r="M190" s="306"/>
    </row>
    <row r="191" spans="13:13" s="23" customFormat="1">
      <c r="M191" s="306"/>
    </row>
    <row r="192" spans="13:13" s="23" customFormat="1">
      <c r="M192" s="306"/>
    </row>
    <row r="193" spans="13:13" s="23" customFormat="1">
      <c r="M193" s="306"/>
    </row>
    <row r="194" spans="13:13" s="23" customFormat="1">
      <c r="M194" s="306"/>
    </row>
    <row r="195" spans="13:13" s="23" customFormat="1">
      <c r="M195" s="306"/>
    </row>
    <row r="196" spans="13:13" s="23" customFormat="1">
      <c r="M196" s="306"/>
    </row>
    <row r="197" spans="13:13" s="23" customFormat="1">
      <c r="M197" s="306"/>
    </row>
    <row r="198" spans="13:13" s="23" customFormat="1">
      <c r="M198" s="306"/>
    </row>
    <row r="199" spans="13:13" s="23" customFormat="1">
      <c r="M199" s="306"/>
    </row>
    <row r="200" spans="13:13" s="23" customFormat="1">
      <c r="M200" s="306"/>
    </row>
    <row r="201" spans="13:13" s="23" customFormat="1">
      <c r="M201" s="306"/>
    </row>
    <row r="202" spans="13:13" s="23" customFormat="1">
      <c r="M202" s="306"/>
    </row>
    <row r="203" spans="13:13" s="23" customFormat="1">
      <c r="M203" s="306"/>
    </row>
    <row r="204" spans="13:13" s="23" customFormat="1">
      <c r="M204" s="306"/>
    </row>
    <row r="205" spans="13:13" s="23" customFormat="1">
      <c r="M205" s="306"/>
    </row>
    <row r="206" spans="13:13" s="23" customFormat="1">
      <c r="M206" s="306"/>
    </row>
    <row r="207" spans="13:13" s="23" customFormat="1">
      <c r="M207" s="306"/>
    </row>
    <row r="208" spans="13:13" s="23" customFormat="1">
      <c r="M208" s="306"/>
    </row>
    <row r="209" spans="13:13" s="23" customFormat="1">
      <c r="M209" s="306"/>
    </row>
    <row r="210" spans="13:13" s="23" customFormat="1">
      <c r="M210" s="306"/>
    </row>
    <row r="211" spans="13:13" s="23" customFormat="1">
      <c r="M211" s="306"/>
    </row>
    <row r="212" spans="13:13" s="23" customFormat="1">
      <c r="M212" s="306"/>
    </row>
    <row r="213" spans="13:13" s="23" customFormat="1">
      <c r="M213" s="306"/>
    </row>
    <row r="214" spans="13:13" s="23" customFormat="1">
      <c r="M214" s="306"/>
    </row>
    <row r="215" spans="13:13" s="23" customFormat="1">
      <c r="M215" s="306"/>
    </row>
    <row r="216" spans="13:13" s="23" customFormat="1">
      <c r="M216" s="306"/>
    </row>
    <row r="217" spans="13:13" s="23" customFormat="1">
      <c r="M217" s="306"/>
    </row>
    <row r="218" spans="13:13" s="23" customFormat="1">
      <c r="M218" s="306"/>
    </row>
    <row r="219" spans="13:13" s="23" customFormat="1">
      <c r="M219" s="306"/>
    </row>
    <row r="220" spans="13:13" s="23" customFormat="1">
      <c r="M220" s="306"/>
    </row>
    <row r="221" spans="13:13" s="23" customFormat="1">
      <c r="M221" s="306"/>
    </row>
    <row r="222" spans="13:13" s="23" customFormat="1">
      <c r="M222" s="306"/>
    </row>
    <row r="223" spans="13:13" s="23" customFormat="1">
      <c r="M223" s="306"/>
    </row>
    <row r="224" spans="13:13" s="23" customFormat="1">
      <c r="M224" s="306"/>
    </row>
    <row r="225" spans="13:13" s="23" customFormat="1">
      <c r="M225" s="306"/>
    </row>
    <row r="226" spans="13:13" s="23" customFormat="1">
      <c r="M226" s="306"/>
    </row>
    <row r="227" spans="13:13" s="23" customFormat="1">
      <c r="M227" s="306"/>
    </row>
    <row r="228" spans="13:13" s="23" customFormat="1">
      <c r="M228" s="306"/>
    </row>
    <row r="229" spans="13:13" s="23" customFormat="1">
      <c r="M229" s="306"/>
    </row>
    <row r="230" spans="13:13" s="23" customFormat="1">
      <c r="M230" s="306"/>
    </row>
    <row r="231" spans="13:13" s="23" customFormat="1">
      <c r="M231" s="306"/>
    </row>
    <row r="232" spans="13:13" s="23" customFormat="1">
      <c r="M232" s="306"/>
    </row>
    <row r="233" spans="13:13" s="23" customFormat="1">
      <c r="M233" s="306"/>
    </row>
    <row r="234" spans="13:13" s="23" customFormat="1">
      <c r="M234" s="306"/>
    </row>
    <row r="235" spans="13:13" s="23" customFormat="1">
      <c r="M235" s="306"/>
    </row>
    <row r="236" spans="13:13" s="23" customFormat="1">
      <c r="M236" s="306"/>
    </row>
    <row r="237" spans="13:13" s="23" customFormat="1">
      <c r="M237" s="306"/>
    </row>
    <row r="238" spans="13:13" s="23" customFormat="1">
      <c r="M238" s="306"/>
    </row>
    <row r="239" spans="13:13" s="23" customFormat="1">
      <c r="M239" s="306"/>
    </row>
    <row r="240" spans="13:13" s="23" customFormat="1">
      <c r="M240" s="306"/>
    </row>
    <row r="241" spans="13:13" s="23" customFormat="1">
      <c r="M241" s="306"/>
    </row>
    <row r="242" spans="13:13" s="23" customFormat="1">
      <c r="M242" s="306"/>
    </row>
    <row r="243" spans="13:13" s="23" customFormat="1">
      <c r="M243" s="306"/>
    </row>
    <row r="244" spans="13:13" s="23" customFormat="1">
      <c r="M244" s="306"/>
    </row>
    <row r="245" spans="13:13" s="23" customFormat="1">
      <c r="M245" s="306"/>
    </row>
    <row r="246" spans="13:13" s="23" customFormat="1">
      <c r="M246" s="306"/>
    </row>
    <row r="247" spans="13:13" s="23" customFormat="1">
      <c r="M247" s="306"/>
    </row>
    <row r="248" spans="13:13" s="23" customFormat="1">
      <c r="M248" s="306"/>
    </row>
    <row r="249" spans="13:13" s="23" customFormat="1">
      <c r="M249" s="306"/>
    </row>
    <row r="250" spans="13:13" s="23" customFormat="1">
      <c r="M250" s="306"/>
    </row>
    <row r="251" spans="13:13" s="23" customFormat="1">
      <c r="M251" s="306"/>
    </row>
    <row r="252" spans="13:13" s="23" customFormat="1">
      <c r="M252" s="306"/>
    </row>
    <row r="253" spans="13:13" s="23" customFormat="1">
      <c r="M253" s="306"/>
    </row>
    <row r="254" spans="13:13" s="23" customFormat="1">
      <c r="M254" s="306"/>
    </row>
    <row r="255" spans="13:13" s="23" customFormat="1">
      <c r="M255" s="306"/>
    </row>
    <row r="256" spans="13:13" s="23" customFormat="1">
      <c r="M256" s="306"/>
    </row>
    <row r="257" spans="13:13" s="23" customFormat="1">
      <c r="M257" s="306"/>
    </row>
    <row r="258" spans="13:13" s="23" customFormat="1">
      <c r="M258" s="306"/>
    </row>
    <row r="259" spans="13:13" s="23" customFormat="1">
      <c r="M259" s="306"/>
    </row>
    <row r="260" spans="13:13" s="23" customFormat="1">
      <c r="M260" s="306"/>
    </row>
    <row r="261" spans="13:13" s="23" customFormat="1">
      <c r="M261" s="306"/>
    </row>
    <row r="262" spans="13:13" s="23" customFormat="1">
      <c r="M262" s="306"/>
    </row>
    <row r="263" spans="13:13" s="23" customFormat="1">
      <c r="M263" s="306"/>
    </row>
    <row r="264" spans="13:13" s="23" customFormat="1">
      <c r="M264" s="306"/>
    </row>
    <row r="265" spans="13:13" s="23" customFormat="1">
      <c r="M265" s="306"/>
    </row>
    <row r="266" spans="13:13" s="23" customFormat="1">
      <c r="M266" s="306"/>
    </row>
    <row r="267" spans="13:13" s="23" customFormat="1">
      <c r="M267" s="306"/>
    </row>
    <row r="268" spans="13:13" s="23" customFormat="1">
      <c r="M268" s="306"/>
    </row>
    <row r="269" spans="13:13" s="23" customFormat="1">
      <c r="M269" s="306"/>
    </row>
    <row r="270" spans="13:13" s="23" customFormat="1">
      <c r="M270" s="306"/>
    </row>
    <row r="271" spans="13:13" s="23" customFormat="1">
      <c r="M271" s="306"/>
    </row>
    <row r="272" spans="13:13" s="23" customFormat="1">
      <c r="M272" s="306"/>
    </row>
    <row r="273" spans="13:13" s="23" customFormat="1">
      <c r="M273" s="306"/>
    </row>
    <row r="274" spans="13:13" s="23" customFormat="1">
      <c r="M274" s="306"/>
    </row>
    <row r="275" spans="13:13" s="23" customFormat="1">
      <c r="M275" s="306"/>
    </row>
    <row r="276" spans="13:13" s="23" customFormat="1">
      <c r="M276" s="306"/>
    </row>
    <row r="277" spans="13:13" s="23" customFormat="1">
      <c r="M277" s="306"/>
    </row>
    <row r="278" spans="13:13" s="23" customFormat="1">
      <c r="M278" s="306"/>
    </row>
    <row r="279" spans="13:13" s="23" customFormat="1">
      <c r="M279" s="306"/>
    </row>
    <row r="280" spans="13:13" s="23" customFormat="1">
      <c r="M280" s="306"/>
    </row>
    <row r="281" spans="13:13" s="23" customFormat="1">
      <c r="M281" s="306"/>
    </row>
    <row r="282" spans="13:13" s="23" customFormat="1">
      <c r="M282" s="306"/>
    </row>
    <row r="283" spans="13:13" s="23" customFormat="1">
      <c r="M283" s="306"/>
    </row>
    <row r="284" spans="13:13" s="23" customFormat="1">
      <c r="M284" s="306"/>
    </row>
    <row r="285" spans="13:13" s="23" customFormat="1">
      <c r="M285" s="306"/>
    </row>
    <row r="286" spans="13:13" s="23" customFormat="1">
      <c r="M286" s="306"/>
    </row>
    <row r="287" spans="13:13" s="23" customFormat="1">
      <c r="M287" s="306"/>
    </row>
    <row r="288" spans="13:13" s="23" customFormat="1">
      <c r="M288" s="306"/>
    </row>
    <row r="289" spans="13:13" s="23" customFormat="1">
      <c r="M289" s="306"/>
    </row>
    <row r="290" spans="13:13" s="23" customFormat="1">
      <c r="M290" s="306"/>
    </row>
    <row r="291" spans="13:13" s="23" customFormat="1">
      <c r="M291" s="306"/>
    </row>
    <row r="292" spans="13:13" s="23" customFormat="1">
      <c r="M292" s="306"/>
    </row>
    <row r="293" spans="13:13" s="23" customFormat="1">
      <c r="M293" s="306"/>
    </row>
    <row r="294" spans="13:13" s="23" customFormat="1">
      <c r="M294" s="306"/>
    </row>
    <row r="295" spans="13:13" s="23" customFormat="1">
      <c r="M295" s="306"/>
    </row>
    <row r="296" spans="13:13" s="23" customFormat="1">
      <c r="M296" s="306"/>
    </row>
    <row r="297" spans="13:13" s="23" customFormat="1">
      <c r="M297" s="306"/>
    </row>
    <row r="298" spans="13:13" s="23" customFormat="1">
      <c r="M298" s="306"/>
    </row>
    <row r="299" spans="13:13" s="23" customFormat="1">
      <c r="M299" s="306"/>
    </row>
    <row r="300" spans="13:13" s="23" customFormat="1">
      <c r="M300" s="306"/>
    </row>
    <row r="301" spans="13:13" s="23" customFormat="1"/>
    <row r="302" spans="13:13" s="23" customFormat="1"/>
    <row r="303" spans="13:13" s="23" customFormat="1"/>
    <row r="304" spans="13:13"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pans="2:2">
      <c r="B2241" s="23"/>
    </row>
  </sheetData>
  <mergeCells count="4">
    <mergeCell ref="D17:F17"/>
    <mergeCell ref="G17:I17"/>
    <mergeCell ref="D41:H41"/>
    <mergeCell ref="J17:L17"/>
  </mergeCells>
  <pageMargins left="0.70866141732283472" right="0.70866141732283472" top="1.0236220472440944" bottom="1.0236220472440944" header="0.39370078740157483" footer="0.39370078740157483"/>
  <pageSetup paperSize="9" scale="58"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24" customWidth="1"/>
    <col min="2" max="2" width="27.81640625" style="124" customWidth="1"/>
    <col min="3" max="3" width="20.81640625" style="124" customWidth="1"/>
    <col min="4" max="4" width="10.81640625" style="124" customWidth="1"/>
    <col min="5" max="5" width="12.1796875" style="124" customWidth="1"/>
    <col min="6" max="6" width="10.1796875" style="124" customWidth="1"/>
    <col min="7" max="7" width="10.81640625" style="124" customWidth="1"/>
    <col min="8" max="8" width="13.1796875" style="124" customWidth="1"/>
    <col min="9" max="9" width="10.81640625" style="124" customWidth="1"/>
    <col min="10" max="10" width="12.81640625" style="124" customWidth="1"/>
    <col min="11" max="14" width="10.81640625" style="124" customWidth="1"/>
    <col min="15" max="16384" width="9.1796875" style="124"/>
  </cols>
  <sheetData>
    <row r="1" spans="1:17" ht="6" customHeight="1">
      <c r="A1" s="180"/>
      <c r="B1" s="47"/>
      <c r="C1" s="47"/>
      <c r="D1" s="47"/>
      <c r="E1" s="47"/>
      <c r="F1" s="47"/>
      <c r="G1" s="47"/>
      <c r="H1" s="47"/>
      <c r="I1" s="47"/>
      <c r="J1" s="47"/>
      <c r="K1" s="47"/>
      <c r="L1" s="47"/>
      <c r="M1" s="47"/>
      <c r="N1" s="47"/>
      <c r="O1" s="181"/>
      <c r="P1" s="19"/>
      <c r="Q1" s="19"/>
    </row>
    <row r="2" spans="1:17" s="105" customFormat="1" ht="18">
      <c r="A2" s="133"/>
      <c r="B2" s="134" t="str">
        <f>'Cover Sheet'!B2</f>
        <v>SC Germany Consumer 2023-1</v>
      </c>
      <c r="C2" s="134"/>
      <c r="D2" s="123"/>
      <c r="E2" s="1073" t="str">
        <f>'Cover Sheet'!D2</f>
        <v>Calculation Date</v>
      </c>
      <c r="F2" s="1074"/>
      <c r="G2" s="136"/>
      <c r="H2" s="137">
        <f>'Cover Sheet'!F2</f>
        <v>45973</v>
      </c>
      <c r="I2" s="182"/>
      <c r="J2" s="136"/>
      <c r="K2" s="136"/>
      <c r="L2" s="136"/>
      <c r="M2" s="136"/>
      <c r="N2" s="138"/>
      <c r="O2" s="139"/>
      <c r="P2" s="123"/>
      <c r="Q2" s="123"/>
    </row>
    <row r="3" spans="1:17" s="105" customFormat="1" ht="18">
      <c r="A3" s="133"/>
      <c r="B3" s="134" t="str">
        <f>'Cover Sheet'!B3</f>
        <v>Monthly Investor Report</v>
      </c>
      <c r="C3" s="134"/>
      <c r="D3" s="123"/>
      <c r="E3" s="1075" t="s">
        <v>2</v>
      </c>
      <c r="F3" s="1076"/>
      <c r="G3" s="143"/>
      <c r="H3" s="143">
        <f>'Cover Sheet'!F3</f>
        <v>45975</v>
      </c>
      <c r="I3" s="183"/>
      <c r="J3" s="142"/>
      <c r="K3" s="142"/>
      <c r="L3" s="142"/>
      <c r="M3" s="142"/>
      <c r="N3" s="144"/>
      <c r="O3" s="139"/>
      <c r="P3" s="123"/>
      <c r="Q3" s="123"/>
    </row>
    <row r="4" spans="1:17" s="105" customFormat="1">
      <c r="A4" s="133"/>
      <c r="B4" s="184"/>
      <c r="C4" s="185"/>
      <c r="D4" s="123"/>
      <c r="E4" s="1075" t="s">
        <v>3</v>
      </c>
      <c r="F4" s="1076"/>
      <c r="G4" s="146"/>
      <c r="H4" s="146">
        <f>'Cover Sheet'!F4</f>
        <v>27</v>
      </c>
      <c r="I4" s="186"/>
      <c r="J4" s="147"/>
      <c r="K4" s="142"/>
      <c r="L4" s="142"/>
      <c r="M4" s="142"/>
      <c r="N4" s="148"/>
      <c r="O4" s="139"/>
      <c r="P4" s="123"/>
      <c r="Q4" s="123"/>
    </row>
    <row r="5" spans="1:17" s="105" customFormat="1" ht="18">
      <c r="A5" s="133"/>
      <c r="B5" s="187" t="s">
        <v>368</v>
      </c>
      <c r="C5" s="149"/>
      <c r="D5" s="123"/>
      <c r="E5" s="1075" t="s">
        <v>1</v>
      </c>
      <c r="F5" s="1076"/>
      <c r="G5" s="188"/>
      <c r="H5" s="150">
        <f>'Cover Sheet'!F5</f>
        <v>45975</v>
      </c>
      <c r="I5" s="142"/>
      <c r="J5" s="147"/>
      <c r="K5" s="142"/>
      <c r="L5" s="142"/>
      <c r="M5" s="142"/>
      <c r="N5" s="148"/>
      <c r="O5" s="139"/>
      <c r="P5" s="123"/>
      <c r="Q5" s="123"/>
    </row>
    <row r="6" spans="1:17" s="105" customFormat="1" ht="15" customHeight="1">
      <c r="A6" s="133"/>
      <c r="B6" s="151"/>
      <c r="C6" s="140"/>
      <c r="D6" s="123"/>
      <c r="E6" s="1069" t="s">
        <v>51</v>
      </c>
      <c r="F6" s="1070"/>
      <c r="G6" s="143" t="s">
        <v>34</v>
      </c>
      <c r="H6" s="143">
        <f>'Cover Sheet'!F6</f>
        <v>45944</v>
      </c>
      <c r="I6" s="143" t="s">
        <v>4</v>
      </c>
      <c r="J6" s="143">
        <f>'Cover Sheet'!$H$6</f>
        <v>45975</v>
      </c>
      <c r="K6" s="143" t="s">
        <v>15</v>
      </c>
      <c r="L6" s="143"/>
      <c r="M6" s="143"/>
      <c r="N6" s="189" t="str">
        <f>'Cover Sheet'!$J$6</f>
        <v>31 days</v>
      </c>
      <c r="O6" s="190"/>
      <c r="P6" s="123"/>
      <c r="Q6" s="123"/>
    </row>
    <row r="7" spans="1:17" s="105" customFormat="1" ht="13">
      <c r="A7" s="133"/>
      <c r="B7" s="123"/>
      <c r="C7" s="123"/>
      <c r="D7" s="115"/>
      <c r="E7" s="1071" t="s">
        <v>111</v>
      </c>
      <c r="F7" s="1072"/>
      <c r="G7" s="158" t="s">
        <v>34</v>
      </c>
      <c r="H7" s="158" t="str">
        <f>'Cover Sheet'!F7</f>
        <v>01.10.2025</v>
      </c>
      <c r="I7" s="158" t="s">
        <v>4</v>
      </c>
      <c r="J7" s="158">
        <f>'Cover Sheet'!H7</f>
        <v>45961</v>
      </c>
      <c r="K7" s="191"/>
      <c r="L7" s="191"/>
      <c r="M7" s="191"/>
      <c r="N7" s="192"/>
      <c r="O7" s="139"/>
      <c r="P7" s="123"/>
      <c r="Q7" s="123"/>
    </row>
    <row r="8" spans="1:17" s="105" customFormat="1" ht="13">
      <c r="A8" s="133"/>
      <c r="B8" s="123"/>
      <c r="C8" s="123"/>
      <c r="D8" s="19"/>
      <c r="E8" s="163"/>
      <c r="F8" s="162"/>
      <c r="G8" s="163"/>
      <c r="H8" s="123"/>
      <c r="I8" s="193"/>
      <c r="J8" s="123"/>
      <c r="K8" s="164"/>
      <c r="L8" s="164"/>
      <c r="M8" s="164"/>
      <c r="N8" s="123"/>
      <c r="O8" s="139"/>
      <c r="P8" s="123"/>
      <c r="Q8" s="123"/>
    </row>
    <row r="9" spans="1:17" s="105" customFormat="1" ht="13">
      <c r="A9" s="133"/>
      <c r="B9" s="123"/>
      <c r="C9" s="123"/>
      <c r="D9" s="19"/>
      <c r="E9" s="123"/>
      <c r="F9" s="123"/>
      <c r="G9" s="123"/>
      <c r="H9" s="123"/>
      <c r="I9" s="123"/>
      <c r="J9" s="123"/>
      <c r="K9" s="123"/>
      <c r="L9" s="123"/>
      <c r="M9" s="123"/>
      <c r="N9" s="123"/>
      <c r="O9" s="194"/>
      <c r="P9" s="123"/>
      <c r="Q9" s="123"/>
    </row>
    <row r="10" spans="1:17" s="105" customFormat="1">
      <c r="A10" s="133"/>
      <c r="B10" s="123"/>
      <c r="C10" s="123"/>
      <c r="D10" s="19"/>
      <c r="E10" s="123"/>
      <c r="F10" s="129"/>
      <c r="G10" s="123"/>
      <c r="H10" s="123"/>
      <c r="I10" s="19"/>
      <c r="J10" s="19"/>
      <c r="K10" s="123"/>
      <c r="L10" s="123"/>
      <c r="M10" s="123"/>
      <c r="N10" s="123"/>
      <c r="O10" s="139"/>
      <c r="P10" s="123"/>
      <c r="Q10" s="123"/>
    </row>
    <row r="11" spans="1:17" s="105" customFormat="1" ht="12.75" customHeight="1">
      <c r="A11" s="133"/>
      <c r="B11" s="195"/>
      <c r="C11" s="123"/>
      <c r="D11" s="9"/>
      <c r="E11" s="9"/>
      <c r="F11" s="9"/>
      <c r="G11" s="9"/>
      <c r="H11" s="9"/>
      <c r="I11" s="9"/>
      <c r="J11" s="9"/>
      <c r="K11" s="9"/>
      <c r="L11" s="9"/>
      <c r="M11" s="9"/>
      <c r="N11" s="9"/>
      <c r="O11" s="196"/>
      <c r="P11" s="123"/>
      <c r="Q11" s="123"/>
    </row>
    <row r="12" spans="1:17" s="105" customFormat="1" ht="12.75" customHeight="1">
      <c r="A12" s="133"/>
      <c r="B12" s="195"/>
      <c r="C12" s="123"/>
      <c r="D12" s="9"/>
      <c r="E12" s="9"/>
      <c r="F12" s="9"/>
      <c r="G12" s="9"/>
      <c r="H12" s="9"/>
      <c r="I12" s="9"/>
      <c r="J12" s="9"/>
      <c r="K12" s="9"/>
      <c r="L12" s="9"/>
      <c r="M12" s="9"/>
      <c r="N12" s="9"/>
      <c r="O12" s="196"/>
      <c r="P12" s="123"/>
      <c r="Q12" s="123"/>
    </row>
    <row r="13" spans="1:17" s="105" customFormat="1" ht="18">
      <c r="A13" s="133"/>
      <c r="B13" s="237"/>
      <c r="C13" s="19"/>
      <c r="D13" s="238"/>
      <c r="E13" s="238"/>
      <c r="F13" s="197"/>
      <c r="G13" s="197"/>
      <c r="H13" s="197"/>
      <c r="I13" s="197"/>
      <c r="J13" s="198"/>
      <c r="K13" s="198"/>
      <c r="L13" s="198"/>
      <c r="M13" s="198"/>
      <c r="N13" s="199"/>
      <c r="O13" s="200"/>
      <c r="Q13" s="201"/>
    </row>
    <row r="14" spans="1:17" s="105" customFormat="1" ht="18">
      <c r="A14" s="133"/>
      <c r="B14" s="985" t="s">
        <v>816</v>
      </c>
      <c r="C14"/>
      <c r="D14" s="240"/>
      <c r="E14" s="241"/>
      <c r="F14" s="242"/>
      <c r="G14" s="242"/>
      <c r="H14" s="242"/>
      <c r="I14" s="242"/>
      <c r="J14" s="242"/>
      <c r="K14" s="243"/>
      <c r="L14" s="243"/>
      <c r="M14" s="243"/>
      <c r="N14" s="198"/>
      <c r="O14" s="200"/>
      <c r="Q14" s="201"/>
    </row>
    <row r="15" spans="1:17" ht="14.5">
      <c r="A15" s="206"/>
      <c r="B15" s="986" t="s">
        <v>817</v>
      </c>
      <c r="C15" s="987" t="s">
        <v>818</v>
      </c>
      <c r="D15" s="244"/>
      <c r="E15" s="244"/>
      <c r="F15" s="244"/>
      <c r="G15" s="244"/>
      <c r="H15" s="244"/>
      <c r="I15" s="244"/>
      <c r="J15" s="242"/>
      <c r="K15" s="245"/>
      <c r="L15" s="245"/>
      <c r="M15" s="245"/>
      <c r="N15" s="245"/>
      <c r="O15" s="200"/>
      <c r="Q15" s="201"/>
    </row>
    <row r="16" spans="1:17">
      <c r="A16" s="206"/>
      <c r="B16" s="43"/>
      <c r="C16" s="219"/>
      <c r="D16" s="244"/>
      <c r="E16" s="244"/>
      <c r="F16" s="244"/>
      <c r="G16" s="244"/>
      <c r="H16" s="244"/>
      <c r="I16" s="244"/>
      <c r="J16" s="244"/>
      <c r="K16" s="245"/>
      <c r="L16" s="245"/>
      <c r="M16" s="245"/>
      <c r="N16" s="245"/>
      <c r="O16" s="200"/>
      <c r="Q16" s="201"/>
    </row>
    <row r="17" spans="1:17">
      <c r="A17" s="206"/>
      <c r="C17" s="246"/>
      <c r="D17" s="247"/>
      <c r="F17" s="244"/>
      <c r="G17" s="244"/>
      <c r="H17" s="244"/>
      <c r="I17" s="244"/>
      <c r="J17" s="244"/>
      <c r="K17" s="245"/>
      <c r="L17" s="245"/>
      <c r="M17" s="245"/>
      <c r="N17" s="245"/>
      <c r="O17" s="200"/>
      <c r="Q17" s="201"/>
    </row>
    <row r="18" spans="1:17">
      <c r="A18" s="206"/>
      <c r="B18" s="43"/>
      <c r="C18" s="219"/>
      <c r="D18" s="244"/>
      <c r="E18" s="244"/>
      <c r="G18" s="244"/>
      <c r="H18" s="244"/>
      <c r="I18" s="244"/>
      <c r="J18" s="244"/>
      <c r="K18" s="245"/>
      <c r="L18" s="245"/>
      <c r="M18" s="245"/>
      <c r="N18" s="245"/>
      <c r="O18" s="200"/>
      <c r="Q18" s="201"/>
    </row>
    <row r="19" spans="1:17">
      <c r="A19" s="206"/>
      <c r="C19" s="219"/>
      <c r="D19" s="247"/>
      <c r="E19" s="244"/>
      <c r="F19" s="244"/>
      <c r="G19" s="244"/>
      <c r="H19" s="244"/>
      <c r="I19" s="244"/>
      <c r="J19" s="244"/>
      <c r="K19" s="245"/>
      <c r="L19" s="245"/>
      <c r="M19" s="245"/>
      <c r="N19" s="245"/>
      <c r="O19" s="200"/>
      <c r="Q19" s="201"/>
    </row>
    <row r="20" spans="1:17" ht="12.75" customHeight="1">
      <c r="A20" s="206"/>
      <c r="B20" s="43"/>
      <c r="C20" s="219"/>
      <c r="D20" s="244"/>
      <c r="F20" s="244"/>
      <c r="G20" s="248"/>
      <c r="H20" s="248"/>
      <c r="I20" s="248"/>
      <c r="J20" s="244"/>
      <c r="K20" s="245"/>
      <c r="L20" s="245"/>
      <c r="M20" s="245"/>
      <c r="N20" s="245"/>
      <c r="O20" s="200"/>
      <c r="Q20" s="201"/>
    </row>
    <row r="21" spans="1:17">
      <c r="A21" s="206"/>
      <c r="B21" s="43"/>
      <c r="C21" s="219"/>
      <c r="D21" s="114"/>
      <c r="E21" s="244"/>
      <c r="F21" s="244"/>
      <c r="G21" s="19"/>
      <c r="H21" s="19"/>
      <c r="I21" s="19"/>
      <c r="J21" s="19"/>
      <c r="K21" s="19"/>
      <c r="L21" s="19"/>
      <c r="M21" s="19"/>
      <c r="N21" s="19"/>
      <c r="O21" s="200"/>
    </row>
    <row r="22" spans="1:17">
      <c r="A22" s="206"/>
      <c r="B22" s="43"/>
      <c r="C22" s="219"/>
      <c r="D22" s="244"/>
      <c r="E22" s="244"/>
      <c r="F22" s="244"/>
      <c r="G22" s="244"/>
      <c r="H22" s="244"/>
      <c r="I22" s="244"/>
      <c r="J22" s="249"/>
      <c r="K22" s="245"/>
      <c r="L22" s="245"/>
      <c r="M22" s="245"/>
      <c r="N22" s="245"/>
      <c r="O22" s="200"/>
      <c r="Q22" s="201"/>
    </row>
    <row r="23" spans="1:17">
      <c r="A23" s="206"/>
      <c r="B23" s="43"/>
      <c r="C23" s="219"/>
      <c r="D23" s="244"/>
      <c r="E23" s="244"/>
      <c r="F23" s="244"/>
      <c r="G23" s="244"/>
      <c r="H23" s="244"/>
      <c r="I23" s="244"/>
      <c r="J23" s="244"/>
      <c r="K23" s="245"/>
      <c r="L23" s="245"/>
      <c r="M23" s="245"/>
      <c r="N23" s="250"/>
      <c r="O23" s="200"/>
      <c r="Q23" s="201"/>
    </row>
    <row r="24" spans="1:17" ht="13">
      <c r="A24" s="206"/>
      <c r="B24" s="13"/>
      <c r="C24" s="251"/>
      <c r="D24" s="252"/>
      <c r="E24" s="123"/>
      <c r="F24" s="123"/>
      <c r="G24" s="123"/>
      <c r="H24" s="123"/>
      <c r="I24" s="123"/>
      <c r="J24" s="244"/>
      <c r="K24" s="253"/>
      <c r="L24" s="253"/>
      <c r="M24" s="253"/>
      <c r="N24" s="19"/>
      <c r="O24" s="200"/>
      <c r="Q24" s="201"/>
    </row>
    <row r="25" spans="1:17" ht="18" customHeight="1">
      <c r="A25" s="206"/>
      <c r="B25" s="237" t="s">
        <v>106</v>
      </c>
      <c r="C25" s="239"/>
      <c r="D25" s="1064" t="s">
        <v>240</v>
      </c>
      <c r="E25" s="1065"/>
      <c r="F25" s="1066"/>
      <c r="G25" s="1044" t="s">
        <v>241</v>
      </c>
      <c r="H25" s="1045"/>
      <c r="I25" s="1046"/>
      <c r="J25" s="1044" t="s">
        <v>575</v>
      </c>
      <c r="K25" s="1045"/>
      <c r="L25" s="1046"/>
      <c r="M25" s="254"/>
      <c r="N25" s="254"/>
      <c r="O25" s="200"/>
      <c r="Q25" s="201"/>
    </row>
    <row r="26" spans="1:17" s="105" customFormat="1" ht="36" customHeight="1">
      <c r="A26" s="133"/>
      <c r="B26" s="15"/>
      <c r="C26" s="9"/>
      <c r="D26" s="1" t="s">
        <v>107</v>
      </c>
      <c r="E26" s="1" t="s">
        <v>108</v>
      </c>
      <c r="F26" s="1" t="s">
        <v>109</v>
      </c>
      <c r="G26" s="1" t="s">
        <v>107</v>
      </c>
      <c r="H26" s="1" t="s">
        <v>108</v>
      </c>
      <c r="I26" s="1" t="s">
        <v>109</v>
      </c>
      <c r="J26" s="1" t="s">
        <v>107</v>
      </c>
      <c r="K26" s="1" t="s">
        <v>108</v>
      </c>
      <c r="L26" s="1" t="s">
        <v>109</v>
      </c>
      <c r="M26" s="255"/>
      <c r="N26" s="255"/>
      <c r="O26" s="196"/>
      <c r="P26" s="123"/>
      <c r="Q26" s="123"/>
    </row>
    <row r="27" spans="1:17" s="105" customFormat="1" ht="15" customHeight="1">
      <c r="A27" s="133"/>
      <c r="B27" s="1067"/>
      <c r="C27" s="1068"/>
      <c r="D27" s="16"/>
      <c r="E27" s="16"/>
      <c r="F27" s="16"/>
      <c r="G27" s="16"/>
      <c r="H27" s="16"/>
      <c r="I27" s="16"/>
      <c r="J27" s="16"/>
      <c r="K27" s="16"/>
      <c r="L27" s="16"/>
      <c r="M27" s="19"/>
      <c r="N27" s="19"/>
      <c r="O27" s="196"/>
      <c r="P27" s="123"/>
      <c r="Q27" s="123"/>
    </row>
    <row r="28" spans="1:17" ht="13">
      <c r="A28" s="206"/>
      <c r="B28" s="1062" t="s">
        <v>104</v>
      </c>
      <c r="C28" s="1063"/>
      <c r="D28" s="959" t="str">
        <f>IF(VLOOKUP(B28,ratings,7,FALSE)="-",VLOOKUP(B28,ratings,8,FALSE),VLOOKUP(B28,ratings,7,FALSE))</f>
        <v>A+</v>
      </c>
      <c r="E28" s="959" t="str">
        <f>IF(VLOOKUP(B28,ratings,9,FALSE)="-",VLOOKUP(B28,ratings,10,FALSE),VLOOKUP(B28,ratings,9,FALSE))</f>
        <v>F1</v>
      </c>
      <c r="F28" s="959" t="str">
        <f>VLOOKUP($B$28,ratings,11,FALSE)</f>
        <v>STABLE</v>
      </c>
      <c r="G28" s="959" t="str">
        <f>IF(VLOOKUP(B28,ratings,2,FALSE)="-",VLOOKUP(B28,ratings,3,FALSE),VLOOKUP(B28,ratings,2,FALSE))</f>
        <v>A2(cr)</v>
      </c>
      <c r="H28" s="959" t="str">
        <f>IF(VLOOKUP(B28,ratings,4,FALSE)="-",VLOOKUP(B28,ratings,5,FALSE),VLOOKUP(B28,ratings,4,FALSE))</f>
        <v>P-1(cr)</v>
      </c>
      <c r="I28" s="959" t="str">
        <f>VLOOKUP($B$28,ratings,6,FALSE)</f>
        <v>STABLE</v>
      </c>
      <c r="J28" s="959" t="str">
        <f>IF(VLOOKUP(B28,ratings,13,FALSE)="-",VLOOKUP(B28,ratings,14,FALSE),VLOOKUP(B28,ratings,13,FALSE))</f>
        <v>AH</v>
      </c>
      <c r="K28" s="959" t="str">
        <f>VLOOKUP($B$28,ratings,15,FALSE)</f>
        <v>R-1M</v>
      </c>
      <c r="L28" s="959" t="str">
        <f>VLOOKUP($B$28,ratings,16,FALSE)</f>
        <v>STABLE</v>
      </c>
      <c r="M28" s="256"/>
      <c r="N28" s="256"/>
      <c r="O28" s="196"/>
      <c r="P28" s="19"/>
      <c r="Q28" s="19"/>
    </row>
    <row r="29" spans="1:17" s="19" customFormat="1" ht="12.75" customHeight="1">
      <c r="A29" s="206"/>
      <c r="B29" s="17"/>
      <c r="C29" s="18"/>
      <c r="D29" s="960"/>
      <c r="E29" s="960"/>
      <c r="F29" s="960"/>
      <c r="G29" s="960"/>
      <c r="H29" s="960"/>
      <c r="I29" s="960"/>
      <c r="J29" s="960"/>
      <c r="K29" s="960"/>
      <c r="L29" s="960"/>
      <c r="O29" s="200"/>
    </row>
    <row r="30" spans="1:17" s="19" customFormat="1" ht="13">
      <c r="A30" s="206"/>
      <c r="B30" s="1062" t="s">
        <v>110</v>
      </c>
      <c r="C30" s="1063"/>
      <c r="D30" s="959" t="str">
        <f>IF(VLOOKUP(B30,ratings,7,FALSE)="-",VLOOKUP(B30,ratings,8,FALSE),VLOOKUP(B30,ratings,7,FALSE))</f>
        <v>A+</v>
      </c>
      <c r="E30" s="959" t="str">
        <f>IF(VLOOKUP(B30,ratings,9,FALSE)="-",VLOOKUP(B30,ratings,10,FALSE),VLOOKUP(B30,ratings,9,FALSE))</f>
        <v>F1</v>
      </c>
      <c r="F30" s="959" t="str">
        <f>VLOOKUP($B$30,ratings,11,FALSE)</f>
        <v>STABLE</v>
      </c>
      <c r="G30" s="959" t="str">
        <f>IF(VLOOKUP(B30,ratings,2,FALSE)="-",VLOOKUP(B30,ratings,3,FALSE),VLOOKUP(B30,ratings,2,FALSE))</f>
        <v>A2(cr)</v>
      </c>
      <c r="H30" s="959" t="str">
        <f>IF(VLOOKUP(B30,ratings,4,FALSE)="-",VLOOKUP(B30,ratings,5,FALSE),VLOOKUP(B30,ratings,4,FALSE))</f>
        <v>P-1(cr)</v>
      </c>
      <c r="I30" s="959" t="str">
        <f>VLOOKUP($B$30,ratings,6,FALSE)</f>
        <v>STABLE</v>
      </c>
      <c r="J30" s="959" t="str">
        <f>IF(VLOOKUP(B30,ratings,13,FALSE)="-",VLOOKUP(B30,ratings,14,FALSE),VLOOKUP(B30,ratings,13,FALSE))</f>
        <v>-</v>
      </c>
      <c r="K30" s="959" t="str">
        <f>VLOOKUP($B$30,ratings,15,FALSE)</f>
        <v>-</v>
      </c>
      <c r="L30" s="959" t="str">
        <f>VLOOKUP($B$30,ratings,16,FALSE)</f>
        <v>-</v>
      </c>
      <c r="M30" s="256"/>
      <c r="N30" s="256"/>
      <c r="O30" s="200"/>
    </row>
    <row r="31" spans="1:17" s="19" customFormat="1" ht="13">
      <c r="A31" s="206"/>
      <c r="B31" s="257"/>
      <c r="C31" s="257"/>
      <c r="D31" s="959"/>
      <c r="E31" s="959"/>
      <c r="F31" s="959"/>
      <c r="G31" s="959"/>
      <c r="H31" s="959"/>
      <c r="I31" s="959"/>
      <c r="J31" s="959"/>
      <c r="K31" s="959"/>
      <c r="L31" s="959"/>
      <c r="M31" s="256"/>
      <c r="N31" s="256"/>
      <c r="O31" s="200"/>
    </row>
    <row r="32" spans="1:17" s="19" customFormat="1" ht="13">
      <c r="A32" s="206"/>
      <c r="B32" s="1062" t="s">
        <v>197</v>
      </c>
      <c r="C32" s="1063"/>
      <c r="D32" s="959" t="str">
        <f>IF(VLOOKUP(B32,ratings,7,FALSE)="-",VLOOKUP(B32,ratings,8,FALSE),VLOOKUP(B32,ratings,7,FALSE))</f>
        <v>A</v>
      </c>
      <c r="E32" s="959" t="str">
        <f>IF(VLOOKUP(B32,ratings,9,FALSE)="-",VLOOKUP(B32,ratings,10,FALSE),VLOOKUP(B32,ratings,9,FALSE))</f>
        <v>F1</v>
      </c>
      <c r="F32" s="959" t="str">
        <f>VLOOKUP($B$32,ratings,11,FALSE)</f>
        <v>STABLE</v>
      </c>
      <c r="G32" s="959" t="str">
        <f>IF(VLOOKUP(B32,ratings,2,FALSE)="-",VLOOKUP(B32,ratings,3,FALSE),VLOOKUP(B32,ratings,2,FALSE))</f>
        <v>A1(cr)</v>
      </c>
      <c r="H32" s="959" t="str">
        <f>IF(VLOOKUP(B32,ratings,4,FALSE)="-",VLOOKUP(B32,ratings,5,FALSE),VLOOKUP(B32,ratings,4,FALSE))</f>
        <v>P-1(cr)</v>
      </c>
      <c r="I32" s="959" t="str">
        <f>VLOOKUP($B$32,ratings,6,FALSE)</f>
        <v>STABLE</v>
      </c>
      <c r="J32" s="959" t="str">
        <f>IF(VLOOKUP(B32,ratings,13,FALSE)="-",VLOOKUP(B32,ratings,14,FALSE),VLOOKUP(B32,ratings,13,FALSE))</f>
        <v>-</v>
      </c>
      <c r="K32" s="959" t="str">
        <f>VLOOKUP($B$32,ratings,15,FALSE)</f>
        <v>-</v>
      </c>
      <c r="L32" s="959" t="str">
        <f>VLOOKUP($B$32,ratings,16,FALSE)</f>
        <v>-</v>
      </c>
      <c r="M32" s="256"/>
      <c r="N32" s="256"/>
      <c r="O32" s="200"/>
    </row>
    <row r="33" spans="1:15" s="19" customFormat="1" ht="15.5">
      <c r="A33" s="206"/>
      <c r="B33" s="258"/>
      <c r="D33" s="20"/>
      <c r="E33" s="20"/>
      <c r="F33" s="20"/>
      <c r="G33" s="20"/>
      <c r="H33" s="20"/>
      <c r="I33" s="20"/>
      <c r="J33" s="20"/>
      <c r="K33" s="20"/>
      <c r="L33" s="20"/>
      <c r="M33" s="9"/>
      <c r="N33" s="9"/>
      <c r="O33" s="200"/>
    </row>
    <row r="34" spans="1:15" s="19" customFormat="1" ht="15.5">
      <c r="A34" s="206"/>
      <c r="B34" s="14"/>
      <c r="D34" s="9"/>
      <c r="E34" s="9"/>
      <c r="F34" s="9"/>
      <c r="G34" s="9"/>
      <c r="H34" s="9"/>
      <c r="I34" s="9"/>
      <c r="J34" s="9"/>
      <c r="K34" s="9"/>
      <c r="L34" s="9"/>
      <c r="M34" s="9"/>
      <c r="N34" s="9"/>
      <c r="O34" s="200"/>
    </row>
    <row r="35" spans="1:15" s="19" customFormat="1" ht="15.5">
      <c r="A35" s="206"/>
      <c r="C35" s="12"/>
      <c r="D35" s="9"/>
      <c r="E35" s="9"/>
      <c r="F35" s="9"/>
      <c r="G35" s="9"/>
      <c r="H35" s="9"/>
      <c r="I35" s="9"/>
      <c r="J35" s="9"/>
      <c r="K35" s="9"/>
      <c r="L35" s="9"/>
      <c r="M35" s="9"/>
      <c r="N35" s="9"/>
      <c r="O35" s="200"/>
    </row>
    <row r="36" spans="1:15" s="19" customFormat="1" ht="15.5">
      <c r="A36" s="221"/>
      <c r="B36" s="54" t="str">
        <f>VLOOKUP("RatingDate",ratings,17,0)</f>
        <v>Ratings as of 31.10.2025, data source: Bloomberg</v>
      </c>
      <c r="C36" s="10"/>
      <c r="D36" s="11"/>
      <c r="E36" s="11"/>
      <c r="F36" s="11"/>
      <c r="G36" s="11"/>
      <c r="H36" s="11"/>
      <c r="I36" s="11"/>
      <c r="J36" s="11"/>
      <c r="K36" s="11"/>
      <c r="L36" s="11"/>
      <c r="M36" s="11"/>
      <c r="N36" s="11"/>
      <c r="O36" s="222"/>
    </row>
    <row r="37" spans="1:15" s="19" customFormat="1" ht="15.5">
      <c r="C37" s="12"/>
      <c r="D37" s="9"/>
      <c r="E37" s="9"/>
      <c r="F37" s="9"/>
      <c r="G37" s="9"/>
      <c r="H37" s="9"/>
      <c r="I37" s="9"/>
      <c r="J37" s="9"/>
      <c r="K37" s="9"/>
      <c r="L37" s="9"/>
      <c r="M37" s="9"/>
      <c r="N37" s="9"/>
    </row>
    <row r="38" spans="1:15" s="19" customFormat="1" ht="15.5">
      <c r="C38" s="12"/>
      <c r="D38" s="9"/>
      <c r="E38" s="9"/>
      <c r="F38" s="9"/>
      <c r="G38" s="9"/>
      <c r="H38" s="9"/>
      <c r="I38" s="9"/>
      <c r="J38" s="9"/>
      <c r="K38" s="9"/>
      <c r="L38" s="9"/>
      <c r="M38" s="9"/>
      <c r="N38" s="9"/>
    </row>
    <row r="39" spans="1:15" s="19" customFormat="1" ht="15.5">
      <c r="C39" s="12"/>
      <c r="D39" s="9"/>
      <c r="E39" s="9"/>
      <c r="F39" s="9"/>
      <c r="G39" s="9"/>
      <c r="H39" s="9"/>
      <c r="I39" s="9"/>
      <c r="J39" s="9"/>
      <c r="K39" s="9"/>
      <c r="L39" s="9"/>
      <c r="M39" s="9"/>
      <c r="N39" s="9"/>
    </row>
    <row r="40" spans="1:15" s="19" customFormat="1">
      <c r="B40" s="13"/>
      <c r="C40" s="12"/>
      <c r="D40" s="223"/>
      <c r="E40" s="12"/>
      <c r="F40" s="224"/>
      <c r="G40" s="225"/>
      <c r="H40" s="224"/>
      <c r="I40" s="199"/>
    </row>
    <row r="41" spans="1:15" s="19" customFormat="1">
      <c r="B41" s="13"/>
      <c r="C41" s="12"/>
      <c r="D41" s="223"/>
      <c r="E41" s="12"/>
      <c r="F41" s="224"/>
      <c r="G41" s="225"/>
      <c r="H41" s="224"/>
      <c r="I41" s="199"/>
    </row>
    <row r="42" spans="1:15" s="19" customFormat="1">
      <c r="B42" s="13"/>
      <c r="C42" s="12"/>
      <c r="D42" s="223"/>
      <c r="E42" s="12"/>
      <c r="F42" s="224"/>
      <c r="G42" s="225"/>
      <c r="H42" s="224"/>
      <c r="I42" s="199"/>
    </row>
    <row r="43" spans="1:15" s="19" customFormat="1">
      <c r="B43" s="13"/>
      <c r="C43" s="12"/>
      <c r="D43" s="223"/>
      <c r="E43" s="12"/>
      <c r="F43" s="224"/>
      <c r="G43" s="225"/>
      <c r="H43" s="224"/>
      <c r="I43" s="199"/>
    </row>
    <row r="44" spans="1:15" s="19" customFormat="1">
      <c r="B44" s="13"/>
      <c r="C44" s="12"/>
      <c r="D44" s="223"/>
      <c r="E44" s="12"/>
      <c r="F44" s="224"/>
      <c r="G44" s="225"/>
      <c r="H44" s="224"/>
      <c r="I44" s="199"/>
    </row>
    <row r="45" spans="1:15" s="19" customFormat="1">
      <c r="B45" s="13"/>
      <c r="C45" s="12"/>
      <c r="D45" s="223"/>
      <c r="E45" s="12"/>
      <c r="F45" s="224"/>
      <c r="G45" s="225"/>
      <c r="H45" s="224"/>
      <c r="I45" s="199"/>
    </row>
    <row r="46" spans="1:15" s="19" customFormat="1">
      <c r="B46" s="13"/>
      <c r="C46" s="12"/>
      <c r="D46" s="223"/>
      <c r="E46" s="12"/>
      <c r="F46" s="224"/>
      <c r="G46" s="225"/>
      <c r="H46" s="224"/>
      <c r="I46" s="199"/>
    </row>
    <row r="47" spans="1:15" s="19" customFormat="1">
      <c r="B47" s="13"/>
      <c r="C47" s="12"/>
      <c r="D47" s="223"/>
      <c r="E47" s="12"/>
      <c r="F47" s="224"/>
      <c r="G47" s="225"/>
      <c r="H47" s="224"/>
      <c r="I47" s="199"/>
    </row>
    <row r="48" spans="1:15" s="19" customFormat="1">
      <c r="B48" s="13"/>
      <c r="C48" s="12"/>
      <c r="D48" s="223"/>
      <c r="E48" s="12"/>
      <c r="F48" s="224"/>
      <c r="G48" s="225"/>
      <c r="H48" s="224"/>
      <c r="I48" s="199"/>
    </row>
    <row r="49" spans="2:9" s="19" customFormat="1">
      <c r="B49" s="13"/>
      <c r="C49" s="12"/>
      <c r="D49" s="223"/>
      <c r="E49" s="12"/>
      <c r="F49" s="224"/>
      <c r="G49" s="225"/>
      <c r="H49" s="224"/>
      <c r="I49" s="199"/>
    </row>
    <row r="50" spans="2:9" s="19" customFormat="1">
      <c r="B50" s="13"/>
      <c r="C50" s="12"/>
      <c r="D50" s="223"/>
      <c r="E50" s="12"/>
      <c r="F50" s="224"/>
      <c r="G50" s="225"/>
      <c r="H50" s="224"/>
      <c r="I50" s="199"/>
    </row>
    <row r="51" spans="2:9" s="19" customFormat="1">
      <c r="B51" s="13"/>
      <c r="C51" s="12"/>
      <c r="D51" s="223"/>
      <c r="E51" s="12"/>
      <c r="F51" s="224"/>
      <c r="G51" s="225"/>
      <c r="H51" s="224"/>
      <c r="I51" s="199"/>
    </row>
    <row r="52" spans="2:9" s="19" customFormat="1">
      <c r="B52" s="13"/>
      <c r="C52" s="12"/>
      <c r="D52" s="223"/>
      <c r="E52" s="12"/>
      <c r="F52" s="224"/>
      <c r="G52" s="225"/>
      <c r="H52" s="224"/>
      <c r="I52" s="199"/>
    </row>
    <row r="53" spans="2:9" s="19" customFormat="1">
      <c r="B53" s="13"/>
      <c r="C53" s="12"/>
      <c r="D53" s="223"/>
      <c r="E53" s="12"/>
      <c r="F53" s="224"/>
      <c r="G53" s="225"/>
      <c r="H53" s="224"/>
      <c r="I53" s="199"/>
    </row>
    <row r="54" spans="2:9" s="19" customFormat="1">
      <c r="B54" s="13"/>
      <c r="C54" s="12"/>
      <c r="D54" s="223"/>
      <c r="E54" s="12"/>
      <c r="F54" s="224"/>
      <c r="G54" s="225"/>
      <c r="H54" s="224"/>
      <c r="I54" s="199"/>
    </row>
    <row r="55" spans="2:9" s="19" customFormat="1" ht="15.5">
      <c r="B55" s="14"/>
      <c r="C55" s="12"/>
      <c r="D55" s="223"/>
      <c r="E55" s="12"/>
      <c r="F55" s="224"/>
      <c r="G55" s="225"/>
      <c r="H55" s="224"/>
      <c r="I55" s="199"/>
    </row>
    <row r="56" spans="2:9" s="19" customFormat="1" ht="15.5">
      <c r="B56" s="14"/>
      <c r="C56" s="12"/>
      <c r="D56" s="226"/>
      <c r="E56" s="227"/>
      <c r="F56" s="259"/>
      <c r="G56" s="229"/>
      <c r="H56" s="259"/>
      <c r="I56" s="199"/>
    </row>
    <row r="57" spans="2:9" s="19" customFormat="1" ht="15.5">
      <c r="B57" s="14"/>
      <c r="C57" s="12"/>
      <c r="D57" s="226"/>
      <c r="E57" s="226"/>
      <c r="F57" s="226"/>
      <c r="G57" s="226"/>
      <c r="H57" s="226"/>
      <c r="I57" s="199"/>
    </row>
    <row r="58" spans="2:9" s="19" customFormat="1" ht="15.5">
      <c r="B58" s="14"/>
      <c r="C58" s="12"/>
      <c r="D58" s="226"/>
      <c r="E58" s="226"/>
      <c r="F58" s="226"/>
      <c r="G58" s="226"/>
      <c r="H58" s="226"/>
      <c r="I58" s="199"/>
    </row>
    <row r="59" spans="2:9" s="19" customFormat="1" ht="15.5">
      <c r="B59" s="14"/>
      <c r="C59" s="12"/>
      <c r="D59" s="230"/>
      <c r="E59" s="260"/>
      <c r="F59" s="226"/>
      <c r="G59" s="226"/>
      <c r="H59" s="226"/>
      <c r="I59" s="199"/>
    </row>
    <row r="60" spans="2:9" s="19" customFormat="1">
      <c r="B60" s="13"/>
      <c r="C60" s="12"/>
      <c r="D60" s="227"/>
      <c r="E60" s="260"/>
      <c r="F60" s="226"/>
      <c r="G60" s="226"/>
      <c r="H60" s="226"/>
      <c r="I60" s="199"/>
    </row>
    <row r="61" spans="2:9" s="19" customFormat="1">
      <c r="B61" s="13"/>
      <c r="C61" s="12"/>
      <c r="D61" s="226"/>
      <c r="E61" s="260"/>
      <c r="F61" s="226"/>
      <c r="G61" s="226"/>
      <c r="H61" s="226"/>
      <c r="I61" s="199"/>
    </row>
    <row r="62" spans="2:9" s="19" customFormat="1" ht="14">
      <c r="B62" s="226"/>
      <c r="C62" s="227"/>
      <c r="D62" s="232"/>
      <c r="E62" s="232"/>
      <c r="F62" s="232"/>
      <c r="G62" s="232"/>
      <c r="H62" s="232"/>
      <c r="I62" s="199"/>
    </row>
    <row r="63" spans="2:9" s="19" customFormat="1" ht="14">
      <c r="B63" s="123"/>
      <c r="C63" s="123"/>
      <c r="D63" s="232"/>
      <c r="E63" s="232"/>
      <c r="F63" s="232"/>
      <c r="G63" s="232"/>
      <c r="H63" s="232"/>
      <c r="I63" s="199"/>
    </row>
    <row r="64" spans="2:9" s="19" customFormat="1" ht="14">
      <c r="B64" s="123"/>
      <c r="C64" s="123"/>
      <c r="D64" s="233"/>
      <c r="E64" s="261"/>
      <c r="F64" s="232"/>
      <c r="G64" s="232"/>
      <c r="H64" s="232"/>
      <c r="I64" s="199"/>
    </row>
    <row r="65" spans="2:9" s="19" customFormat="1" ht="14">
      <c r="B65" s="230"/>
      <c r="C65" s="260"/>
      <c r="D65" s="235"/>
      <c r="E65" s="261"/>
      <c r="F65" s="232"/>
      <c r="G65" s="232"/>
      <c r="H65" s="232"/>
      <c r="I65" s="199"/>
    </row>
    <row r="66" spans="2:9" s="19" customFormat="1" ht="14">
      <c r="B66" s="236"/>
      <c r="C66" s="260"/>
      <c r="D66" s="232"/>
      <c r="E66" s="261"/>
      <c r="F66" s="232"/>
      <c r="G66" s="232"/>
      <c r="H66" s="232"/>
      <c r="I66" s="199"/>
    </row>
    <row r="67" spans="2:9" s="19" customFormat="1">
      <c r="C67" s="260"/>
      <c r="I67" s="199"/>
    </row>
    <row r="68" spans="2:9" s="19" customFormat="1">
      <c r="I68" s="199"/>
    </row>
    <row r="69" spans="2:9" s="19" customFormat="1">
      <c r="I69" s="199"/>
    </row>
    <row r="70" spans="2:9" s="19" customFormat="1">
      <c r="I70" s="199"/>
    </row>
    <row r="71" spans="2:9" s="19" customFormat="1">
      <c r="I71" s="199"/>
    </row>
    <row r="72" spans="2:9" s="19" customFormat="1">
      <c r="I72" s="199"/>
    </row>
    <row r="73" spans="2:9" s="19" customFormat="1">
      <c r="I73" s="199"/>
    </row>
    <row r="74" spans="2:9" s="19" customFormat="1">
      <c r="I74" s="199"/>
    </row>
    <row r="75" spans="2:9" s="19" customFormat="1">
      <c r="I75" s="199"/>
    </row>
    <row r="76" spans="2:9" s="19" customFormat="1">
      <c r="I76" s="199"/>
    </row>
    <row r="77" spans="2:9" s="19" customFormat="1">
      <c r="I77" s="199"/>
    </row>
    <row r="78" spans="2:9" s="19" customFormat="1">
      <c r="I78" s="199"/>
    </row>
    <row r="79" spans="2:9" s="19" customFormat="1">
      <c r="I79" s="199"/>
    </row>
    <row r="80" spans="2:9" s="19" customFormat="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row r="287" spans="9:9" s="19" customFormat="1"/>
    <row r="288" spans="9:9"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pans="2:14" s="19" customFormat="1"/>
    <row r="2210" spans="2:14" s="19" customFormat="1"/>
    <row r="2211" spans="2:14" s="19" customFormat="1"/>
    <row r="2212" spans="2:14" s="19" customFormat="1"/>
    <row r="2213" spans="2:14" s="19" customFormat="1"/>
    <row r="2214" spans="2:14" s="19" customFormat="1"/>
    <row r="2215" spans="2:14" s="19" customFormat="1"/>
    <row r="2216" spans="2:14" s="19" customFormat="1"/>
    <row r="2217" spans="2:14" s="19" customFormat="1"/>
    <row r="2218" spans="2:14" s="19" customFormat="1"/>
    <row r="2219" spans="2:14" s="19" customFormat="1"/>
    <row r="2220" spans="2:14" s="19" customFormat="1"/>
    <row r="2221" spans="2:14" s="19" customFormat="1"/>
    <row r="2222" spans="2:14" s="19" customFormat="1"/>
    <row r="2223" spans="2:14" s="19" customFormat="1"/>
    <row r="2224" spans="2:14">
      <c r="B2224" s="19"/>
      <c r="C2224" s="19"/>
      <c r="D2224" s="19"/>
      <c r="E2224" s="19"/>
      <c r="F2224" s="19"/>
      <c r="G2224" s="19"/>
      <c r="H2224" s="19"/>
      <c r="I2224" s="19"/>
      <c r="J2224" s="19"/>
      <c r="K2224" s="19"/>
      <c r="L2224" s="19"/>
      <c r="M2224" s="19"/>
      <c r="N2224" s="19"/>
    </row>
    <row r="2225" spans="2:14">
      <c r="B2225" s="19"/>
      <c r="C2225" s="19"/>
      <c r="D2225" s="19"/>
      <c r="E2225" s="19"/>
      <c r="F2225" s="19"/>
      <c r="G2225" s="19"/>
      <c r="H2225" s="19"/>
      <c r="I2225" s="19"/>
      <c r="J2225" s="19"/>
      <c r="K2225" s="19"/>
      <c r="L2225" s="19"/>
      <c r="M2225" s="19"/>
      <c r="N2225" s="19"/>
    </row>
  </sheetData>
  <mergeCells count="13">
    <mergeCell ref="E6:F6"/>
    <mergeCell ref="E7:F7"/>
    <mergeCell ref="E2:F2"/>
    <mergeCell ref="E3:F3"/>
    <mergeCell ref="E4:F4"/>
    <mergeCell ref="E5:F5"/>
    <mergeCell ref="J25:L25"/>
    <mergeCell ref="B32:C32"/>
    <mergeCell ref="B30:C30"/>
    <mergeCell ref="D25:F25"/>
    <mergeCell ref="B28:C28"/>
    <mergeCell ref="G25:I25"/>
    <mergeCell ref="B27:C27"/>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topLeftCell="A3" zoomScale="80" zoomScaleNormal="100" zoomScaleSheetLayoutView="80" workbookViewId="0">
      <selection activeCell="B3" sqref="B3"/>
    </sheetView>
  </sheetViews>
  <sheetFormatPr baseColWidth="10" defaultColWidth="9.1796875" defaultRowHeight="12.5"/>
  <cols>
    <col min="1" max="1" width="1.1796875" style="124" customWidth="1"/>
    <col min="2" max="2" width="40.54296875" style="124" customWidth="1"/>
    <col min="3" max="3" width="8.81640625" style="124" customWidth="1"/>
    <col min="4" max="4" width="7.1796875" style="124" customWidth="1"/>
    <col min="5" max="5" width="12.1796875" style="124" customWidth="1"/>
    <col min="6" max="6" width="10.1796875" style="124" customWidth="1"/>
    <col min="7" max="7" width="10.81640625" style="124" customWidth="1"/>
    <col min="8" max="8" width="14.81640625" style="124" customWidth="1"/>
    <col min="9" max="9" width="13" style="124" customWidth="1"/>
    <col min="10" max="10" width="16.1796875" style="124" customWidth="1"/>
    <col min="11" max="11" width="13" style="124" customWidth="1"/>
    <col min="12" max="12" width="15.1796875" style="124" customWidth="1"/>
    <col min="13" max="13" width="8" style="124" customWidth="1"/>
    <col min="14" max="14" width="22.81640625" style="124" customWidth="1"/>
    <col min="15" max="16384" width="9.1796875" style="124"/>
  </cols>
  <sheetData>
    <row r="1" spans="1:16" ht="6" customHeight="1">
      <c r="A1" s="180"/>
      <c r="B1" s="47"/>
      <c r="C1" s="47"/>
      <c r="D1" s="47"/>
      <c r="E1" s="47"/>
      <c r="F1" s="47"/>
      <c r="G1" s="47"/>
      <c r="H1" s="47"/>
      <c r="I1" s="47"/>
      <c r="J1" s="47"/>
      <c r="K1" s="47"/>
      <c r="L1" s="47"/>
      <c r="M1" s="47"/>
      <c r="N1" s="181"/>
      <c r="O1" s="19"/>
      <c r="P1" s="19"/>
    </row>
    <row r="2" spans="1:16" s="105" customFormat="1" ht="18">
      <c r="A2" s="133"/>
      <c r="B2" s="134" t="str">
        <f>'Cover Sheet'!B2</f>
        <v>SC Germany Consumer 2023-1</v>
      </c>
      <c r="C2" s="134"/>
      <c r="D2" s="123"/>
      <c r="E2" s="1077" t="str">
        <f>'Cover Sheet'!D2</f>
        <v>Calculation Date</v>
      </c>
      <c r="F2" s="1074"/>
      <c r="G2" s="136"/>
      <c r="H2" s="137">
        <f>'Cover Sheet'!F2</f>
        <v>45973</v>
      </c>
      <c r="I2" s="182"/>
      <c r="J2" s="136"/>
      <c r="K2" s="136"/>
      <c r="L2" s="138"/>
      <c r="M2" s="9"/>
      <c r="N2" s="139"/>
      <c r="O2" s="123"/>
      <c r="P2" s="123"/>
    </row>
    <row r="3" spans="1:16" s="105" customFormat="1" ht="18">
      <c r="A3" s="133"/>
      <c r="B3" s="134" t="str">
        <f>'Cover Sheet'!B3</f>
        <v>Monthly Investor Report</v>
      </c>
      <c r="C3" s="134"/>
      <c r="D3" s="123"/>
      <c r="E3" s="1078" t="s">
        <v>2</v>
      </c>
      <c r="F3" s="1079"/>
      <c r="G3" s="143"/>
      <c r="H3" s="143">
        <f>'Cover Sheet'!F3</f>
        <v>45975</v>
      </c>
      <c r="I3" s="183"/>
      <c r="J3" s="142"/>
      <c r="K3" s="142"/>
      <c r="L3" s="144"/>
      <c r="M3" s="9"/>
      <c r="N3" s="139"/>
      <c r="O3" s="123"/>
      <c r="P3" s="123"/>
    </row>
    <row r="4" spans="1:16" s="105" customFormat="1" ht="15.5">
      <c r="A4" s="133"/>
      <c r="B4" s="184"/>
      <c r="C4" s="185"/>
      <c r="D4" s="123"/>
      <c r="E4" s="1078" t="s">
        <v>3</v>
      </c>
      <c r="F4" s="1079"/>
      <c r="G4" s="146"/>
      <c r="H4" s="146">
        <f>'Cover Sheet'!F4</f>
        <v>27</v>
      </c>
      <c r="I4" s="186"/>
      <c r="J4" s="147"/>
      <c r="K4" s="142"/>
      <c r="L4" s="148"/>
      <c r="M4" s="9"/>
      <c r="N4" s="139"/>
      <c r="O4" s="123"/>
      <c r="P4" s="123"/>
    </row>
    <row r="5" spans="1:16" s="105" customFormat="1" ht="18">
      <c r="A5" s="133"/>
      <c r="B5" s="187" t="s">
        <v>369</v>
      </c>
      <c r="C5" s="149"/>
      <c r="D5" s="123"/>
      <c r="E5" s="1078" t="s">
        <v>1</v>
      </c>
      <c r="F5" s="1079"/>
      <c r="G5" s="188"/>
      <c r="H5" s="150">
        <f>'Cover Sheet'!F5</f>
        <v>45975</v>
      </c>
      <c r="I5" s="142"/>
      <c r="J5" s="147"/>
      <c r="K5" s="142"/>
      <c r="L5" s="148"/>
      <c r="M5" s="9"/>
      <c r="N5" s="139"/>
      <c r="O5" s="123"/>
      <c r="P5" s="123"/>
    </row>
    <row r="6" spans="1:16" s="105" customFormat="1" ht="15" customHeight="1">
      <c r="A6" s="133"/>
      <c r="B6" s="151"/>
      <c r="C6" s="140"/>
      <c r="D6" s="123"/>
      <c r="E6" s="1069" t="s">
        <v>51</v>
      </c>
      <c r="F6" s="1070"/>
      <c r="G6" s="143" t="s">
        <v>34</v>
      </c>
      <c r="H6" s="143">
        <f>'Cover Sheet'!F6</f>
        <v>45944</v>
      </c>
      <c r="I6" s="143" t="s">
        <v>4</v>
      </c>
      <c r="J6" s="143">
        <f>'Cover Sheet'!$H$6</f>
        <v>45975</v>
      </c>
      <c r="K6" s="143" t="s">
        <v>15</v>
      </c>
      <c r="L6" s="189" t="str">
        <f>'Cover Sheet'!$J$6</f>
        <v>31 days</v>
      </c>
      <c r="M6" s="9"/>
      <c r="N6" s="190"/>
      <c r="O6" s="123"/>
      <c r="P6" s="123"/>
    </row>
    <row r="7" spans="1:16" s="105" customFormat="1" ht="15.5">
      <c r="A7" s="133"/>
      <c r="B7" s="123"/>
      <c r="C7" s="123"/>
      <c r="D7" s="115"/>
      <c r="E7" s="1071" t="s">
        <v>111</v>
      </c>
      <c r="F7" s="1072"/>
      <c r="G7" s="158" t="s">
        <v>34</v>
      </c>
      <c r="H7" s="158" t="str">
        <f>'Cover Sheet'!F7</f>
        <v>01.10.2025</v>
      </c>
      <c r="I7" s="158" t="s">
        <v>4</v>
      </c>
      <c r="J7" s="158">
        <f>'Cover Sheet'!H7</f>
        <v>45961</v>
      </c>
      <c r="K7" s="191"/>
      <c r="L7" s="192"/>
      <c r="M7" s="9"/>
      <c r="N7" s="139"/>
      <c r="O7" s="123"/>
      <c r="P7" s="123"/>
    </row>
    <row r="8" spans="1:16" s="105" customFormat="1" ht="13">
      <c r="A8" s="133"/>
      <c r="B8" s="123"/>
      <c r="C8" s="123"/>
      <c r="D8" s="19"/>
      <c r="E8" s="163"/>
      <c r="F8" s="162"/>
      <c r="G8" s="163"/>
      <c r="H8" s="123"/>
      <c r="I8" s="193"/>
      <c r="J8" s="123"/>
      <c r="K8" s="164"/>
      <c r="L8" s="123"/>
      <c r="M8" s="123"/>
      <c r="N8" s="139"/>
      <c r="O8" s="123"/>
      <c r="P8" s="123"/>
    </row>
    <row r="9" spans="1:16" s="105" customFormat="1" ht="13">
      <c r="A9" s="133"/>
      <c r="B9" s="123"/>
      <c r="C9" s="123"/>
      <c r="D9" s="19"/>
      <c r="E9" s="123"/>
      <c r="F9" s="123"/>
      <c r="G9" s="123"/>
      <c r="H9" s="123"/>
      <c r="I9" s="123"/>
      <c r="J9" s="123"/>
      <c r="K9" s="123"/>
      <c r="L9" s="123"/>
      <c r="M9" s="123"/>
      <c r="N9" s="194"/>
      <c r="O9" s="123"/>
      <c r="P9" s="123"/>
    </row>
    <row r="10" spans="1:16" s="105" customFormat="1">
      <c r="A10" s="133"/>
      <c r="B10" s="123"/>
      <c r="C10" s="123"/>
      <c r="D10" s="19"/>
      <c r="E10" s="123"/>
      <c r="F10" s="129"/>
      <c r="G10" s="123"/>
      <c r="H10" s="123"/>
      <c r="I10" s="19"/>
      <c r="J10" s="19"/>
      <c r="K10" s="123"/>
      <c r="L10" s="123"/>
      <c r="M10" s="123"/>
      <c r="N10" s="139"/>
      <c r="O10" s="123"/>
      <c r="P10" s="123"/>
    </row>
    <row r="11" spans="1:16" s="105" customFormat="1" ht="12.75" customHeight="1">
      <c r="A11" s="133"/>
      <c r="B11" s="195"/>
      <c r="C11" s="123"/>
      <c r="D11" s="9"/>
      <c r="E11" s="9"/>
      <c r="F11" s="9"/>
      <c r="G11" s="9"/>
      <c r="H11" s="9"/>
      <c r="I11" s="9"/>
      <c r="J11" s="9"/>
      <c r="K11" s="9"/>
      <c r="L11" s="9"/>
      <c r="M11" s="9"/>
      <c r="N11" s="196"/>
      <c r="O11" s="123"/>
      <c r="P11" s="123"/>
    </row>
    <row r="12" spans="1:16" s="105" customFormat="1" ht="12.75" customHeight="1">
      <c r="A12" s="133"/>
      <c r="B12" s="195"/>
      <c r="C12" s="123"/>
      <c r="D12" s="9"/>
      <c r="E12" s="9"/>
      <c r="F12" s="9"/>
      <c r="G12" s="9"/>
      <c r="H12" s="9"/>
      <c r="I12" s="9"/>
      <c r="J12" s="9"/>
      <c r="K12" s="9"/>
      <c r="L12" s="9"/>
      <c r="M12" s="9"/>
      <c r="N12" s="196"/>
      <c r="O12" s="123"/>
      <c r="P12" s="123"/>
    </row>
    <row r="13" spans="1:16" s="105" customFormat="1" ht="12.75" customHeight="1">
      <c r="A13" s="133"/>
      <c r="B13" s="195"/>
      <c r="C13" s="195"/>
      <c r="D13" s="195"/>
      <c r="E13" s="195"/>
      <c r="F13" s="9"/>
      <c r="G13" s="9"/>
      <c r="H13" s="9"/>
      <c r="I13" s="9"/>
      <c r="J13" s="9"/>
      <c r="K13" s="9"/>
      <c r="L13" s="9"/>
      <c r="M13" s="9"/>
      <c r="N13" s="196"/>
      <c r="O13" s="123"/>
      <c r="P13" s="123"/>
    </row>
    <row r="14" spans="1:16" s="105" customFormat="1" ht="12.75" customHeight="1">
      <c r="A14" s="133"/>
      <c r="B14" s="195"/>
      <c r="C14" s="195"/>
      <c r="D14" s="195"/>
      <c r="E14" s="195"/>
      <c r="F14" s="197"/>
      <c r="G14" s="197"/>
      <c r="H14" s="197"/>
      <c r="I14" s="197"/>
      <c r="J14" s="198"/>
      <c r="K14" s="198"/>
      <c r="L14" s="199"/>
      <c r="M14" s="199"/>
      <c r="N14" s="200"/>
      <c r="P14" s="201"/>
    </row>
    <row r="15" spans="1:16" s="105" customFormat="1" ht="13.5" customHeight="1">
      <c r="A15" s="133"/>
      <c r="B15" s="22" t="s">
        <v>207</v>
      </c>
      <c r="C15" s="23"/>
      <c r="D15" s="71" t="s">
        <v>208</v>
      </c>
      <c r="E15" s="71"/>
      <c r="F15" s="77"/>
      <c r="G15" s="202"/>
      <c r="H15" s="202"/>
      <c r="I15" s="202"/>
      <c r="J15" s="202"/>
      <c r="K15" s="203"/>
      <c r="L15" s="204"/>
      <c r="M15" s="204"/>
      <c r="N15" s="205"/>
      <c r="P15" s="201"/>
    </row>
    <row r="16" spans="1:16">
      <c r="A16" s="206"/>
      <c r="B16" s="23"/>
      <c r="C16" s="23"/>
      <c r="D16" s="71" t="s">
        <v>209</v>
      </c>
      <c r="E16" s="71"/>
      <c r="F16" s="207"/>
      <c r="G16" s="78"/>
      <c r="H16" s="78"/>
      <c r="I16" s="78"/>
      <c r="J16" s="78"/>
      <c r="K16" s="208"/>
      <c r="L16" s="208"/>
      <c r="M16" s="208"/>
      <c r="N16" s="205"/>
      <c r="P16" s="201"/>
    </row>
    <row r="17" spans="1:16">
      <c r="A17" s="206"/>
      <c r="B17" s="23"/>
      <c r="C17" s="23"/>
      <c r="D17" s="71"/>
      <c r="E17" s="71"/>
      <c r="F17" s="78"/>
      <c r="G17" s="78"/>
      <c r="H17" s="78"/>
      <c r="I17" s="78"/>
      <c r="J17" s="78"/>
      <c r="K17" s="208"/>
      <c r="L17" s="208"/>
      <c r="M17" s="208"/>
      <c r="N17" s="205"/>
      <c r="P17" s="201"/>
    </row>
    <row r="18" spans="1:16" ht="13">
      <c r="A18" s="206"/>
      <c r="B18" s="22" t="s">
        <v>210</v>
      </c>
      <c r="C18" s="23"/>
      <c r="D18" s="71" t="s">
        <v>211</v>
      </c>
      <c r="E18" s="71"/>
      <c r="F18" s="78"/>
      <c r="G18" s="78"/>
      <c r="H18" s="78"/>
      <c r="I18" s="78"/>
      <c r="J18" s="78"/>
      <c r="K18" s="208"/>
      <c r="L18" s="208"/>
      <c r="M18" s="208"/>
      <c r="N18" s="205"/>
      <c r="P18" s="201"/>
    </row>
    <row r="19" spans="1:16" ht="13">
      <c r="A19" s="206"/>
      <c r="B19" s="22"/>
      <c r="C19" s="23"/>
      <c r="D19" s="71" t="s">
        <v>212</v>
      </c>
      <c r="E19" s="71"/>
      <c r="F19" s="78"/>
      <c r="G19" s="78"/>
      <c r="H19" s="78"/>
      <c r="I19" s="78"/>
      <c r="J19" s="78"/>
      <c r="K19" s="208"/>
      <c r="L19" s="208"/>
      <c r="M19" s="208"/>
      <c r="N19" s="205"/>
      <c r="P19" s="201"/>
    </row>
    <row r="20" spans="1:16" ht="13">
      <c r="A20" s="206"/>
      <c r="B20" s="22"/>
      <c r="C20" s="23"/>
      <c r="D20" s="71"/>
      <c r="E20" s="71"/>
      <c r="F20" s="78"/>
      <c r="G20" s="78"/>
      <c r="H20" s="78"/>
      <c r="I20" s="78"/>
      <c r="J20" s="78"/>
      <c r="K20" s="208"/>
      <c r="L20" s="208"/>
      <c r="M20" s="208"/>
      <c r="N20" s="205"/>
      <c r="P20" s="201"/>
    </row>
    <row r="21" spans="1:16" ht="15.75" customHeight="1">
      <c r="A21" s="206"/>
      <c r="B21" s="22" t="s">
        <v>213</v>
      </c>
      <c r="C21" s="23"/>
      <c r="D21" s="23" t="s">
        <v>214</v>
      </c>
      <c r="E21" s="71"/>
      <c r="F21" s="209"/>
      <c r="G21" s="209"/>
      <c r="H21" s="209"/>
      <c r="I21" s="209"/>
      <c r="J21" s="78"/>
      <c r="K21" s="208"/>
      <c r="L21" s="208"/>
      <c r="M21" s="208"/>
      <c r="N21" s="205"/>
      <c r="P21" s="201"/>
    </row>
    <row r="22" spans="1:16" ht="13">
      <c r="A22" s="206"/>
      <c r="B22" s="22"/>
      <c r="C22" s="23"/>
      <c r="D22" s="71"/>
      <c r="E22" s="71"/>
      <c r="F22" s="78"/>
      <c r="G22" s="78"/>
      <c r="H22" s="78"/>
      <c r="I22" s="78"/>
      <c r="J22" s="210"/>
      <c r="K22" s="208"/>
      <c r="L22" s="208"/>
      <c r="M22" s="208"/>
      <c r="N22" s="205"/>
      <c r="P22" s="201"/>
    </row>
    <row r="23" spans="1:16" ht="13">
      <c r="A23" s="206"/>
      <c r="B23" s="22" t="s">
        <v>215</v>
      </c>
      <c r="C23" s="23"/>
      <c r="D23" s="71" t="s">
        <v>825</v>
      </c>
      <c r="E23" s="71"/>
      <c r="F23" s="211"/>
      <c r="G23" s="211"/>
      <c r="H23" s="211"/>
      <c r="I23" s="211"/>
      <c r="J23" s="211"/>
      <c r="K23" s="211"/>
      <c r="L23" s="211"/>
      <c r="M23" s="211"/>
      <c r="N23" s="205"/>
      <c r="P23" s="201"/>
    </row>
    <row r="24" spans="1:16" ht="12.75" customHeight="1">
      <c r="A24" s="206"/>
      <c r="B24" s="22"/>
      <c r="C24" s="23"/>
      <c r="D24" s="71"/>
      <c r="E24" s="71"/>
      <c r="F24" s="211"/>
      <c r="G24" s="211"/>
      <c r="H24" s="211"/>
      <c r="I24" s="211"/>
      <c r="J24" s="211"/>
      <c r="K24" s="211"/>
      <c r="L24" s="211"/>
      <c r="M24" s="211"/>
      <c r="N24" s="205"/>
      <c r="P24" s="201"/>
    </row>
    <row r="25" spans="1:16" s="105" customFormat="1" ht="12.75" customHeight="1">
      <c r="A25" s="133"/>
      <c r="B25" s="22" t="s">
        <v>216</v>
      </c>
      <c r="C25" s="23"/>
      <c r="D25" s="71" t="s">
        <v>217</v>
      </c>
      <c r="E25" s="71"/>
      <c r="F25" s="211"/>
      <c r="G25" s="211"/>
      <c r="H25" s="211"/>
      <c r="I25" s="211"/>
      <c r="J25" s="211"/>
      <c r="K25" s="211"/>
      <c r="L25" s="211"/>
      <c r="M25" s="211"/>
      <c r="N25" s="212"/>
      <c r="O25" s="123"/>
      <c r="P25" s="123"/>
    </row>
    <row r="26" spans="1:16" s="105" customFormat="1" ht="12.75" customHeight="1">
      <c r="A26" s="133"/>
      <c r="B26" s="22"/>
      <c r="C26" s="23"/>
      <c r="D26" s="71"/>
      <c r="E26" s="71"/>
      <c r="F26" s="211"/>
      <c r="G26" s="211"/>
      <c r="H26" s="211"/>
      <c r="I26" s="211"/>
      <c r="J26" s="211"/>
      <c r="K26" s="211"/>
      <c r="L26" s="211"/>
      <c r="M26" s="211"/>
      <c r="N26" s="212"/>
      <c r="O26" s="123"/>
      <c r="P26" s="123"/>
    </row>
    <row r="27" spans="1:16" s="105" customFormat="1" ht="12.75" customHeight="1">
      <c r="A27" s="133"/>
      <c r="B27" s="22" t="s">
        <v>218</v>
      </c>
      <c r="C27" s="23"/>
      <c r="D27" s="23" t="s">
        <v>821</v>
      </c>
      <c r="E27" s="71"/>
      <c r="F27" s="211"/>
      <c r="G27" s="211"/>
      <c r="H27" s="211"/>
      <c r="I27" s="213"/>
      <c r="J27" s="211"/>
      <c r="K27" s="211"/>
      <c r="L27" s="211"/>
      <c r="M27" s="211"/>
      <c r="N27" s="214"/>
      <c r="O27" s="123"/>
      <c r="P27" s="123"/>
    </row>
    <row r="28" spans="1:16" s="105" customFormat="1" ht="12.75" customHeight="1">
      <c r="A28" s="133"/>
      <c r="B28" s="22"/>
      <c r="C28" s="23"/>
      <c r="D28" s="71"/>
      <c r="E28" s="71"/>
      <c r="F28" s="211"/>
      <c r="G28" s="211"/>
      <c r="H28" s="211"/>
      <c r="I28" s="211"/>
      <c r="J28" s="211"/>
      <c r="K28" s="211"/>
      <c r="L28" s="211"/>
      <c r="M28" s="211"/>
      <c r="N28" s="212"/>
      <c r="O28" s="123"/>
      <c r="P28" s="123"/>
    </row>
    <row r="29" spans="1:16" s="105" customFormat="1" ht="12.75" customHeight="1">
      <c r="A29" s="133"/>
      <c r="B29" s="22" t="s">
        <v>219</v>
      </c>
      <c r="C29" s="23"/>
      <c r="D29" s="71" t="s">
        <v>220</v>
      </c>
      <c r="E29" s="71"/>
      <c r="F29" s="211"/>
      <c r="G29" s="211"/>
      <c r="H29" s="211"/>
      <c r="I29" s="211"/>
      <c r="J29" s="211"/>
      <c r="K29" s="211"/>
      <c r="L29" s="211"/>
      <c r="M29" s="211"/>
      <c r="N29" s="212"/>
      <c r="O29" s="123"/>
      <c r="P29" s="123"/>
    </row>
    <row r="30" spans="1:16" s="105" customFormat="1" ht="12.75" customHeight="1">
      <c r="A30" s="133"/>
      <c r="B30" s="23"/>
      <c r="C30" s="23"/>
      <c r="D30" s="71" t="s">
        <v>824</v>
      </c>
      <c r="E30" s="71"/>
      <c r="F30" s="211"/>
      <c r="G30" s="211"/>
      <c r="H30" s="211"/>
      <c r="I30" s="211"/>
      <c r="J30" s="211"/>
      <c r="K30" s="211"/>
      <c r="L30" s="211"/>
      <c r="M30" s="211"/>
      <c r="N30" s="212"/>
      <c r="O30" s="123"/>
      <c r="P30" s="123"/>
    </row>
    <row r="31" spans="1:16" s="105" customFormat="1" ht="12.75" customHeight="1">
      <c r="A31" s="133"/>
      <c r="B31" s="23"/>
      <c r="C31" s="23"/>
      <c r="D31" s="71"/>
      <c r="E31" s="71"/>
      <c r="F31" s="211"/>
      <c r="G31" s="211"/>
      <c r="H31" s="211"/>
      <c r="I31" s="211"/>
      <c r="J31" s="211"/>
      <c r="K31" s="211"/>
      <c r="L31" s="211"/>
      <c r="M31" s="211"/>
      <c r="N31" s="212"/>
      <c r="O31" s="123"/>
      <c r="P31" s="123"/>
    </row>
    <row r="32" spans="1:16" s="105" customFormat="1" ht="12.75" customHeight="1">
      <c r="A32" s="133"/>
      <c r="B32" s="22" t="s">
        <v>221</v>
      </c>
      <c r="C32" s="23"/>
      <c r="D32" s="71" t="s">
        <v>822</v>
      </c>
      <c r="E32" s="215"/>
      <c r="F32" s="211"/>
      <c r="G32" s="211"/>
      <c r="H32" s="216"/>
      <c r="I32" s="216"/>
      <c r="J32" s="216"/>
      <c r="K32" s="216"/>
      <c r="L32" s="216"/>
      <c r="M32" s="216"/>
      <c r="N32" s="217"/>
      <c r="O32" s="123"/>
      <c r="P32" s="123"/>
    </row>
    <row r="33" spans="1:16" s="105" customFormat="1" ht="12.75" customHeight="1">
      <c r="A33" s="133"/>
      <c r="B33" s="22"/>
      <c r="C33" s="123"/>
      <c r="D33" s="216"/>
      <c r="E33" s="216"/>
      <c r="F33" s="216"/>
      <c r="G33" s="216"/>
      <c r="H33" s="216"/>
      <c r="I33" s="216"/>
      <c r="J33" s="216"/>
      <c r="K33" s="216"/>
      <c r="L33" s="216"/>
      <c r="M33" s="216"/>
      <c r="N33" s="217"/>
      <c r="O33" s="123"/>
      <c r="P33" s="123"/>
    </row>
    <row r="34" spans="1:16" s="105" customFormat="1" ht="12.75" customHeight="1">
      <c r="A34" s="133"/>
      <c r="B34" s="22" t="s">
        <v>222</v>
      </c>
      <c r="C34" s="218"/>
      <c r="D34" s="71" t="s">
        <v>823</v>
      </c>
      <c r="E34" s="211"/>
      <c r="F34" s="211"/>
      <c r="G34" s="211"/>
      <c r="H34" s="211"/>
      <c r="I34" s="211"/>
      <c r="J34" s="216"/>
      <c r="K34" s="216"/>
      <c r="L34" s="216"/>
      <c r="M34" s="216"/>
      <c r="N34" s="217"/>
      <c r="O34" s="123"/>
      <c r="P34" s="123"/>
    </row>
    <row r="35" spans="1:16" s="105" customFormat="1" ht="12.75" customHeight="1">
      <c r="A35" s="133"/>
      <c r="B35" s="123"/>
      <c r="C35" s="123"/>
      <c r="D35" s="123"/>
      <c r="E35" s="123"/>
      <c r="F35" s="123"/>
      <c r="G35" s="123"/>
      <c r="H35" s="123"/>
      <c r="I35" s="123"/>
      <c r="J35" s="123"/>
      <c r="K35" s="123"/>
      <c r="L35" s="123"/>
      <c r="M35" s="123"/>
      <c r="N35" s="139"/>
      <c r="O35" s="123"/>
      <c r="P35" s="123"/>
    </row>
    <row r="36" spans="1:16" s="105" customFormat="1" ht="12.75" customHeight="1">
      <c r="A36" s="133"/>
      <c r="B36" s="23"/>
      <c r="C36" s="23"/>
      <c r="D36" s="23"/>
      <c r="E36" s="23"/>
      <c r="F36" s="219"/>
      <c r="G36" s="219"/>
      <c r="H36" s="219"/>
      <c r="I36" s="219"/>
      <c r="J36" s="219"/>
      <c r="K36" s="219"/>
      <c r="L36" s="219"/>
      <c r="M36" s="219"/>
      <c r="N36" s="196"/>
      <c r="O36" s="123"/>
      <c r="P36" s="123"/>
    </row>
    <row r="37" spans="1:16" s="105" customFormat="1" ht="12.75" customHeight="1">
      <c r="A37" s="133"/>
      <c r="B37" s="219"/>
      <c r="C37" s="219"/>
      <c r="D37" s="219"/>
      <c r="E37" s="219"/>
      <c r="F37" s="219"/>
      <c r="G37" s="219"/>
      <c r="H37" s="219"/>
      <c r="I37" s="219"/>
      <c r="J37" s="219"/>
      <c r="K37" s="219"/>
      <c r="L37" s="219"/>
      <c r="M37" s="219"/>
      <c r="N37" s="220"/>
      <c r="O37" s="123"/>
      <c r="P37" s="123"/>
    </row>
    <row r="38" spans="1:16" s="105" customFormat="1" ht="12.75" customHeight="1">
      <c r="A38" s="133"/>
      <c r="B38" s="219"/>
      <c r="C38" s="219"/>
      <c r="D38" s="219"/>
      <c r="E38" s="219"/>
      <c r="F38" s="219"/>
      <c r="G38" s="219"/>
      <c r="H38" s="219"/>
      <c r="I38" s="219"/>
      <c r="J38" s="219"/>
      <c r="K38" s="219"/>
      <c r="L38" s="219"/>
      <c r="M38" s="219"/>
      <c r="N38" s="220"/>
      <c r="O38" s="123"/>
      <c r="P38" s="123"/>
    </row>
    <row r="39" spans="1:16" s="105" customFormat="1" ht="12.75" customHeight="1">
      <c r="A39" s="133"/>
      <c r="B39" s="219"/>
      <c r="C39" s="219"/>
      <c r="D39" s="219"/>
      <c r="E39" s="219"/>
      <c r="F39" s="219"/>
      <c r="G39" s="219"/>
      <c r="H39" s="219"/>
      <c r="I39" s="219"/>
      <c r="J39" s="219"/>
      <c r="K39" s="219"/>
      <c r="L39" s="219"/>
      <c r="M39" s="219"/>
      <c r="N39" s="220"/>
      <c r="O39" s="123"/>
      <c r="P39" s="123"/>
    </row>
    <row r="40" spans="1:16" s="105" customFormat="1" ht="12.75" customHeight="1">
      <c r="A40" s="133"/>
      <c r="B40" s="219"/>
      <c r="C40" s="219"/>
      <c r="D40" s="219"/>
      <c r="E40" s="219"/>
      <c r="F40" s="219"/>
      <c r="G40" s="219"/>
      <c r="H40" s="219"/>
      <c r="I40" s="219"/>
      <c r="J40" s="219"/>
      <c r="K40" s="219"/>
      <c r="L40" s="219"/>
      <c r="M40" s="219"/>
      <c r="N40" s="220"/>
      <c r="O40" s="123"/>
      <c r="P40" s="123"/>
    </row>
    <row r="41" spans="1:16" s="105" customFormat="1" ht="12.75" customHeight="1">
      <c r="A41" s="133"/>
      <c r="B41" s="219"/>
      <c r="C41" s="219"/>
      <c r="D41" s="219"/>
      <c r="E41" s="219"/>
      <c r="F41" s="219"/>
      <c r="G41" s="219"/>
      <c r="H41" s="219"/>
      <c r="I41" s="219"/>
      <c r="J41" s="219"/>
      <c r="K41" s="219"/>
      <c r="L41" s="219"/>
      <c r="M41" s="219"/>
      <c r="N41" s="220"/>
      <c r="O41" s="123"/>
      <c r="P41" s="123"/>
    </row>
    <row r="42" spans="1:16" s="105" customFormat="1" ht="12.75" customHeight="1">
      <c r="A42" s="133"/>
      <c r="B42" s="219"/>
      <c r="C42" s="219"/>
      <c r="D42" s="219"/>
      <c r="E42" s="219"/>
      <c r="F42" s="219"/>
      <c r="G42" s="219"/>
      <c r="H42" s="219"/>
      <c r="I42" s="219"/>
      <c r="J42" s="219"/>
      <c r="K42" s="219"/>
      <c r="L42" s="219"/>
      <c r="M42" s="219"/>
      <c r="N42" s="220"/>
      <c r="O42" s="123"/>
      <c r="P42" s="123"/>
    </row>
    <row r="43" spans="1:16">
      <c r="A43" s="206"/>
      <c r="B43" s="219"/>
      <c r="C43" s="219"/>
      <c r="D43" s="219"/>
      <c r="E43" s="219"/>
      <c r="F43" s="219"/>
      <c r="G43" s="219"/>
      <c r="H43" s="219"/>
      <c r="I43" s="219"/>
      <c r="J43" s="219"/>
      <c r="K43" s="219"/>
      <c r="L43" s="219"/>
      <c r="M43" s="219"/>
      <c r="N43" s="220"/>
      <c r="O43" s="19"/>
      <c r="P43" s="19"/>
    </row>
    <row r="44" spans="1:16">
      <c r="A44" s="206"/>
      <c r="B44" s="219"/>
      <c r="C44" s="219"/>
      <c r="D44" s="219"/>
      <c r="E44" s="219"/>
      <c r="F44" s="219"/>
      <c r="G44" s="219"/>
      <c r="H44" s="219"/>
      <c r="I44" s="219"/>
      <c r="J44" s="219"/>
      <c r="K44" s="219"/>
      <c r="L44" s="219"/>
      <c r="M44" s="219"/>
      <c r="N44" s="220"/>
      <c r="O44" s="19"/>
      <c r="P44" s="19"/>
    </row>
    <row r="45" spans="1:16">
      <c r="A45" s="206"/>
      <c r="B45" s="219"/>
      <c r="C45" s="219"/>
      <c r="D45" s="219"/>
      <c r="E45" s="219"/>
      <c r="F45" s="219"/>
      <c r="G45" s="219"/>
      <c r="H45" s="219"/>
      <c r="I45" s="219"/>
      <c r="J45" s="219"/>
      <c r="K45" s="219"/>
      <c r="L45" s="219"/>
      <c r="M45" s="219"/>
      <c r="N45" s="220"/>
      <c r="O45" s="19"/>
      <c r="P45" s="19"/>
    </row>
    <row r="46" spans="1:16" s="19" customFormat="1">
      <c r="A46" s="206"/>
      <c r="B46" s="123"/>
      <c r="C46" s="123"/>
      <c r="D46" s="123"/>
      <c r="E46" s="123"/>
      <c r="F46" s="123"/>
      <c r="G46" s="123"/>
      <c r="H46" s="219"/>
      <c r="I46" s="219"/>
      <c r="J46" s="219"/>
      <c r="K46" s="219"/>
      <c r="L46" s="219"/>
      <c r="M46" s="219"/>
      <c r="N46" s="200"/>
    </row>
    <row r="47" spans="1:16" s="19" customFormat="1">
      <c r="A47" s="206"/>
      <c r="B47" s="123"/>
      <c r="C47" s="123"/>
      <c r="D47" s="123"/>
      <c r="E47" s="123"/>
      <c r="F47" s="123"/>
      <c r="G47" s="123"/>
      <c r="H47" s="219"/>
      <c r="I47" s="219"/>
      <c r="J47" s="219"/>
      <c r="K47" s="219"/>
      <c r="L47" s="219"/>
      <c r="M47" s="219"/>
      <c r="N47" s="200"/>
    </row>
    <row r="48" spans="1:16" s="19" customFormat="1">
      <c r="A48" s="206"/>
      <c r="B48" s="219"/>
      <c r="C48" s="219"/>
      <c r="D48" s="219"/>
      <c r="E48" s="219"/>
      <c r="F48" s="219"/>
      <c r="G48" s="219"/>
      <c r="H48" s="219"/>
      <c r="I48" s="219"/>
      <c r="J48" s="219"/>
      <c r="K48" s="219"/>
      <c r="L48" s="219"/>
      <c r="M48" s="219"/>
      <c r="N48" s="200"/>
    </row>
    <row r="49" spans="1:14" s="19" customFormat="1" ht="12.75" customHeight="1">
      <c r="A49" s="221"/>
      <c r="B49" s="54"/>
      <c r="C49" s="10"/>
      <c r="D49" s="11"/>
      <c r="E49" s="11"/>
      <c r="F49" s="11"/>
      <c r="G49" s="11"/>
      <c r="H49" s="11"/>
      <c r="I49" s="11"/>
      <c r="J49" s="11"/>
      <c r="K49" s="11"/>
      <c r="L49" s="11"/>
      <c r="M49" s="11"/>
      <c r="N49" s="222"/>
    </row>
    <row r="50" spans="1:14" s="19" customFormat="1" ht="15.5">
      <c r="A50" s="47"/>
      <c r="C50" s="12"/>
      <c r="D50" s="9"/>
      <c r="E50" s="9"/>
      <c r="F50" s="9"/>
      <c r="G50" s="9"/>
      <c r="H50" s="9"/>
      <c r="I50" s="9"/>
      <c r="J50" s="9"/>
      <c r="K50" s="9"/>
      <c r="L50" s="9"/>
      <c r="M50" s="9"/>
    </row>
    <row r="51" spans="1:14" s="19" customFormat="1" ht="15.5">
      <c r="C51" s="12"/>
      <c r="D51" s="9"/>
      <c r="E51" s="9"/>
      <c r="F51" s="9"/>
      <c r="G51" s="9"/>
      <c r="H51" s="9"/>
      <c r="I51" s="9"/>
      <c r="J51" s="9"/>
      <c r="K51" s="9"/>
      <c r="L51" s="9"/>
      <c r="M51" s="9"/>
    </row>
    <row r="52" spans="1:14" s="19" customFormat="1" ht="15.5">
      <c r="C52" s="12"/>
      <c r="D52" s="9"/>
      <c r="E52" s="9"/>
      <c r="F52" s="9"/>
      <c r="G52" s="9"/>
      <c r="H52" s="9"/>
      <c r="I52" s="9"/>
      <c r="J52" s="9"/>
      <c r="K52" s="9"/>
      <c r="L52" s="9"/>
      <c r="M52" s="9"/>
    </row>
    <row r="53" spans="1:14" s="19" customFormat="1">
      <c r="B53" s="13"/>
      <c r="C53" s="12"/>
      <c r="D53" s="223"/>
      <c r="E53" s="12"/>
      <c r="F53" s="224"/>
      <c r="G53" s="225"/>
      <c r="H53" s="224"/>
      <c r="I53" s="199"/>
    </row>
    <row r="54" spans="1:14" s="19" customFormat="1">
      <c r="B54" s="13"/>
      <c r="C54" s="12"/>
      <c r="D54" s="223"/>
      <c r="E54" s="12"/>
      <c r="F54" s="224"/>
      <c r="G54" s="225"/>
      <c r="H54" s="224"/>
      <c r="I54" s="199"/>
    </row>
    <row r="55" spans="1:14" s="19" customFormat="1">
      <c r="B55" s="13"/>
      <c r="C55" s="12"/>
      <c r="D55" s="223"/>
      <c r="E55" s="12"/>
      <c r="F55" s="224"/>
      <c r="G55" s="225"/>
      <c r="H55" s="224"/>
      <c r="I55" s="199"/>
    </row>
    <row r="56" spans="1:14" s="19" customFormat="1">
      <c r="B56" s="13"/>
      <c r="C56" s="12"/>
      <c r="D56" s="223"/>
      <c r="E56" s="12"/>
      <c r="F56" s="224"/>
      <c r="G56" s="225"/>
      <c r="H56" s="224"/>
      <c r="I56" s="199"/>
    </row>
    <row r="57" spans="1:14" s="19" customFormat="1">
      <c r="B57" s="13"/>
      <c r="C57" s="12"/>
      <c r="D57" s="223"/>
      <c r="E57" s="12"/>
      <c r="F57" s="224"/>
      <c r="G57" s="225"/>
      <c r="H57" s="224"/>
      <c r="I57" s="199"/>
    </row>
    <row r="58" spans="1:14" s="19" customFormat="1">
      <c r="B58" s="13"/>
      <c r="C58" s="12"/>
      <c r="D58" s="223"/>
      <c r="E58" s="12"/>
      <c r="F58" s="224"/>
      <c r="G58" s="225"/>
      <c r="H58" s="224"/>
      <c r="I58" s="199"/>
    </row>
    <row r="59" spans="1:14" s="19" customFormat="1">
      <c r="B59" s="13"/>
      <c r="C59" s="12"/>
      <c r="D59" s="223"/>
      <c r="E59" s="12"/>
      <c r="F59" s="224"/>
      <c r="G59" s="225"/>
      <c r="H59" s="224"/>
      <c r="I59" s="199"/>
    </row>
    <row r="60" spans="1:14" s="19" customFormat="1">
      <c r="B60" s="13"/>
      <c r="C60" s="12"/>
      <c r="D60" s="223"/>
      <c r="E60" s="12"/>
      <c r="F60" s="224"/>
      <c r="G60" s="225"/>
      <c r="H60" s="224"/>
      <c r="I60" s="199"/>
    </row>
    <row r="61" spans="1:14" s="19" customFormat="1">
      <c r="B61" s="13"/>
      <c r="C61" s="12"/>
      <c r="D61" s="223"/>
      <c r="E61" s="12"/>
      <c r="F61" s="224"/>
      <c r="G61" s="225"/>
      <c r="H61" s="224"/>
      <c r="I61" s="199"/>
    </row>
    <row r="62" spans="1:14" s="19" customFormat="1">
      <c r="B62" s="13"/>
      <c r="C62" s="12"/>
      <c r="D62" s="223"/>
      <c r="E62" s="12"/>
      <c r="F62" s="224"/>
      <c r="G62" s="225"/>
      <c r="H62" s="224"/>
      <c r="I62" s="199"/>
    </row>
    <row r="63" spans="1:14" s="19" customFormat="1">
      <c r="B63" s="13"/>
      <c r="C63" s="12"/>
      <c r="D63" s="223"/>
      <c r="E63" s="12"/>
      <c r="F63" s="224"/>
      <c r="G63" s="225"/>
      <c r="H63" s="224"/>
      <c r="I63" s="199"/>
    </row>
    <row r="64" spans="1:14" s="19" customFormat="1">
      <c r="B64" s="13"/>
      <c r="C64" s="12"/>
      <c r="D64" s="223"/>
      <c r="E64" s="12"/>
      <c r="F64" s="224"/>
      <c r="G64" s="225"/>
      <c r="H64" s="224"/>
      <c r="I64" s="199"/>
    </row>
    <row r="65" spans="2:9" s="19" customFormat="1">
      <c r="B65" s="13"/>
      <c r="C65" s="12"/>
      <c r="D65" s="223"/>
      <c r="E65" s="12"/>
      <c r="F65" s="224"/>
      <c r="G65" s="225"/>
      <c r="H65" s="224"/>
      <c r="I65" s="199"/>
    </row>
    <row r="66" spans="2:9" s="19" customFormat="1">
      <c r="B66" s="13"/>
      <c r="C66" s="12"/>
      <c r="D66" s="223"/>
      <c r="E66" s="12"/>
      <c r="F66" s="224"/>
      <c r="G66" s="225"/>
      <c r="H66" s="224"/>
      <c r="I66" s="199"/>
    </row>
    <row r="67" spans="2:9" s="19" customFormat="1">
      <c r="B67" s="13"/>
      <c r="C67" s="12"/>
      <c r="D67" s="223"/>
      <c r="E67" s="12"/>
      <c r="F67" s="224"/>
      <c r="G67" s="225"/>
      <c r="H67" s="224"/>
      <c r="I67" s="199"/>
    </row>
    <row r="68" spans="2:9" s="19" customFormat="1" ht="15.5">
      <c r="B68" s="14"/>
      <c r="C68" s="12"/>
      <c r="D68" s="223"/>
      <c r="E68" s="12"/>
      <c r="F68" s="224"/>
      <c r="G68" s="225"/>
      <c r="H68" s="224"/>
      <c r="I68" s="199"/>
    </row>
    <row r="69" spans="2:9" s="19" customFormat="1" ht="15.5">
      <c r="B69" s="14"/>
      <c r="C69" s="12"/>
      <c r="D69" s="226"/>
      <c r="E69" s="227"/>
      <c r="F69" s="228"/>
      <c r="G69" s="229"/>
      <c r="H69" s="228"/>
      <c r="I69" s="199"/>
    </row>
    <row r="70" spans="2:9" s="19" customFormat="1" ht="15.5">
      <c r="B70" s="14"/>
      <c r="C70" s="12"/>
      <c r="D70" s="226"/>
      <c r="E70" s="226"/>
      <c r="F70" s="226"/>
      <c r="G70" s="226"/>
      <c r="H70" s="226"/>
      <c r="I70" s="199"/>
    </row>
    <row r="71" spans="2:9" s="19" customFormat="1" ht="15.5">
      <c r="B71" s="14"/>
      <c r="C71" s="12"/>
      <c r="D71" s="226"/>
      <c r="E71" s="226"/>
      <c r="F71" s="226"/>
      <c r="G71" s="226"/>
      <c r="H71" s="226"/>
      <c r="I71" s="199"/>
    </row>
    <row r="72" spans="2:9" s="19" customFormat="1" ht="15.5">
      <c r="B72" s="14"/>
      <c r="C72" s="12"/>
      <c r="D72" s="230"/>
      <c r="E72" s="231"/>
      <c r="F72" s="226"/>
      <c r="G72" s="226"/>
      <c r="H72" s="226"/>
      <c r="I72" s="199"/>
    </row>
    <row r="73" spans="2:9" s="19" customFormat="1">
      <c r="B73" s="13"/>
      <c r="C73" s="12"/>
      <c r="D73" s="227"/>
      <c r="E73" s="231"/>
      <c r="F73" s="226"/>
      <c r="G73" s="226"/>
      <c r="H73" s="226"/>
      <c r="I73" s="199"/>
    </row>
    <row r="74" spans="2:9" s="19" customFormat="1">
      <c r="B74" s="13"/>
      <c r="C74" s="12"/>
      <c r="D74" s="226"/>
      <c r="E74" s="231"/>
      <c r="F74" s="226"/>
      <c r="G74" s="226"/>
      <c r="H74" s="226"/>
      <c r="I74" s="199"/>
    </row>
    <row r="75" spans="2:9" s="19" customFormat="1" ht="14">
      <c r="B75" s="226"/>
      <c r="C75" s="227"/>
      <c r="D75" s="232"/>
      <c r="E75" s="232"/>
      <c r="F75" s="232"/>
      <c r="G75" s="232"/>
      <c r="H75" s="232"/>
      <c r="I75" s="199"/>
    </row>
    <row r="76" spans="2:9" s="19" customFormat="1" ht="14">
      <c r="B76" s="123"/>
      <c r="C76" s="123"/>
      <c r="D76" s="232"/>
      <c r="E76" s="232"/>
      <c r="F76" s="232"/>
      <c r="G76" s="232"/>
      <c r="H76" s="232"/>
      <c r="I76" s="199"/>
    </row>
    <row r="77" spans="2:9" s="19" customFormat="1" ht="14">
      <c r="B77" s="123"/>
      <c r="C77" s="123"/>
      <c r="D77" s="233"/>
      <c r="E77" s="234"/>
      <c r="F77" s="232"/>
      <c r="G77" s="232"/>
      <c r="H77" s="232"/>
      <c r="I77" s="199"/>
    </row>
    <row r="78" spans="2:9" s="19" customFormat="1" ht="14">
      <c r="B78" s="230"/>
      <c r="C78" s="231"/>
      <c r="D78" s="235"/>
      <c r="E78" s="234"/>
      <c r="F78" s="232"/>
      <c r="G78" s="232"/>
      <c r="H78" s="232"/>
      <c r="I78" s="199"/>
    </row>
    <row r="79" spans="2:9" s="19" customFormat="1" ht="14">
      <c r="B79" s="236"/>
      <c r="C79" s="231"/>
      <c r="D79" s="232"/>
      <c r="E79" s="234"/>
      <c r="F79" s="232"/>
      <c r="G79" s="232"/>
      <c r="H79" s="232"/>
      <c r="I79" s="199"/>
    </row>
    <row r="80" spans="2:9" s="19" customFormat="1">
      <c r="C80" s="231"/>
      <c r="I80" s="199"/>
    </row>
    <row r="81" spans="9:9" s="19" customFormat="1">
      <c r="I81" s="199"/>
    </row>
    <row r="82" spans="9:9" s="19" customFormat="1">
      <c r="I82" s="199"/>
    </row>
    <row r="83" spans="9:9" s="19" customFormat="1">
      <c r="I83" s="199"/>
    </row>
    <row r="84" spans="9:9" s="19" customFormat="1">
      <c r="I84" s="199"/>
    </row>
    <row r="85" spans="9:9" s="19" customFormat="1">
      <c r="I85" s="199"/>
    </row>
    <row r="86" spans="9:9" s="19" customFormat="1">
      <c r="I86" s="199"/>
    </row>
    <row r="87" spans="9:9" s="19" customFormat="1">
      <c r="I87" s="199"/>
    </row>
    <row r="88" spans="9:9" s="19" customFormat="1">
      <c r="I88" s="199"/>
    </row>
    <row r="89" spans="9:9" s="19" customFormat="1">
      <c r="I89" s="199"/>
    </row>
    <row r="90" spans="9:9" s="19" customFormat="1">
      <c r="I90" s="199"/>
    </row>
    <row r="91" spans="9:9" s="19" customFormat="1">
      <c r="I91" s="199"/>
    </row>
    <row r="92" spans="9:9" s="19" customFormat="1">
      <c r="I92" s="199"/>
    </row>
    <row r="93" spans="9:9" s="19" customFormat="1">
      <c r="I93" s="199"/>
    </row>
    <row r="94" spans="9:9" s="19" customFormat="1">
      <c r="I94" s="199"/>
    </row>
    <row r="95" spans="9:9" s="19" customFormat="1">
      <c r="I95" s="199"/>
    </row>
    <row r="96" spans="9:9" s="19" customFormat="1">
      <c r="I96" s="199"/>
    </row>
    <row r="97" spans="9:9" s="19" customFormat="1">
      <c r="I97" s="199"/>
    </row>
    <row r="98" spans="9:9" s="19" customFormat="1">
      <c r="I98" s="199"/>
    </row>
    <row r="99" spans="9:9" s="19" customFormat="1">
      <c r="I99" s="199"/>
    </row>
    <row r="100" spans="9:9" s="19" customFormat="1">
      <c r="I100" s="199"/>
    </row>
    <row r="101" spans="9:9" s="19" customFormat="1">
      <c r="I101" s="199"/>
    </row>
    <row r="102" spans="9:9" s="19" customFormat="1">
      <c r="I102" s="199"/>
    </row>
    <row r="103" spans="9:9" s="19" customFormat="1">
      <c r="I103" s="199"/>
    </row>
    <row r="104" spans="9:9" s="19" customFormat="1">
      <c r="I104" s="199"/>
    </row>
    <row r="105" spans="9:9" s="19" customFormat="1">
      <c r="I105" s="199"/>
    </row>
    <row r="106" spans="9:9" s="19" customFormat="1">
      <c r="I106" s="199"/>
    </row>
    <row r="107" spans="9:9" s="19" customFormat="1">
      <c r="I107" s="199"/>
    </row>
    <row r="108" spans="9:9" s="19" customFormat="1">
      <c r="I108" s="199"/>
    </row>
    <row r="109" spans="9:9" s="19" customFormat="1">
      <c r="I109" s="199"/>
    </row>
    <row r="110" spans="9:9" s="19" customFormat="1">
      <c r="I110" s="199"/>
    </row>
    <row r="111" spans="9:9" s="19" customFormat="1">
      <c r="I111" s="199"/>
    </row>
    <row r="112" spans="9:9" s="19" customFormat="1">
      <c r="I112" s="199"/>
    </row>
    <row r="113" spans="9:9" s="19" customFormat="1">
      <c r="I113" s="199"/>
    </row>
    <row r="114" spans="9:9" s="19" customFormat="1">
      <c r="I114" s="199"/>
    </row>
    <row r="115" spans="9:9" s="19" customFormat="1">
      <c r="I115" s="199"/>
    </row>
    <row r="116" spans="9:9" s="19" customFormat="1">
      <c r="I116" s="199"/>
    </row>
    <row r="117" spans="9:9" s="19" customFormat="1">
      <c r="I117" s="199"/>
    </row>
    <row r="118" spans="9:9" s="19" customFormat="1">
      <c r="I118" s="199"/>
    </row>
    <row r="119" spans="9:9" s="19" customFormat="1">
      <c r="I119" s="199"/>
    </row>
    <row r="120" spans="9:9" s="19" customFormat="1">
      <c r="I120" s="199"/>
    </row>
    <row r="121" spans="9:9" s="19" customFormat="1">
      <c r="I121" s="199"/>
    </row>
    <row r="122" spans="9:9" s="19" customFormat="1">
      <c r="I122" s="199"/>
    </row>
    <row r="123" spans="9:9" s="19" customFormat="1">
      <c r="I123" s="199"/>
    </row>
    <row r="124" spans="9:9" s="19" customFormat="1">
      <c r="I124" s="199"/>
    </row>
    <row r="125" spans="9:9" s="19" customFormat="1">
      <c r="I125" s="199"/>
    </row>
    <row r="126" spans="9:9" s="19" customFormat="1">
      <c r="I126" s="199"/>
    </row>
    <row r="127" spans="9:9" s="19" customFormat="1">
      <c r="I127" s="199"/>
    </row>
    <row r="128" spans="9:9" s="19" customFormat="1">
      <c r="I128" s="199"/>
    </row>
    <row r="129" spans="9:9" s="19" customFormat="1">
      <c r="I129" s="199"/>
    </row>
    <row r="130" spans="9:9" s="19" customFormat="1">
      <c r="I130" s="199"/>
    </row>
    <row r="131" spans="9:9" s="19" customFormat="1">
      <c r="I131" s="199"/>
    </row>
    <row r="132" spans="9:9" s="19" customFormat="1">
      <c r="I132" s="199"/>
    </row>
    <row r="133" spans="9:9" s="19" customFormat="1">
      <c r="I133" s="199"/>
    </row>
    <row r="134" spans="9:9" s="19" customFormat="1">
      <c r="I134" s="199"/>
    </row>
    <row r="135" spans="9:9" s="19" customFormat="1">
      <c r="I135" s="199"/>
    </row>
    <row r="136" spans="9:9" s="19" customFormat="1">
      <c r="I136" s="199"/>
    </row>
    <row r="137" spans="9:9" s="19" customFormat="1">
      <c r="I137" s="199"/>
    </row>
    <row r="138" spans="9:9" s="19" customFormat="1">
      <c r="I138" s="199"/>
    </row>
    <row r="139" spans="9:9" s="19" customFormat="1">
      <c r="I139" s="199"/>
    </row>
    <row r="140" spans="9:9" s="19" customFormat="1">
      <c r="I140" s="199"/>
    </row>
    <row r="141" spans="9:9" s="19" customFormat="1">
      <c r="I141" s="199"/>
    </row>
    <row r="142" spans="9:9" s="19" customFormat="1">
      <c r="I142" s="199"/>
    </row>
    <row r="143" spans="9:9" s="19" customFormat="1">
      <c r="I143" s="199"/>
    </row>
    <row r="144" spans="9:9" s="19" customFormat="1">
      <c r="I144" s="199"/>
    </row>
    <row r="145" spans="9:9" s="19" customFormat="1">
      <c r="I145" s="199"/>
    </row>
    <row r="146" spans="9:9" s="19" customFormat="1">
      <c r="I146" s="199"/>
    </row>
    <row r="147" spans="9:9" s="19" customFormat="1">
      <c r="I147" s="199"/>
    </row>
    <row r="148" spans="9:9" s="19" customFormat="1">
      <c r="I148" s="199"/>
    </row>
    <row r="149" spans="9:9" s="19" customFormat="1">
      <c r="I149" s="199"/>
    </row>
    <row r="150" spans="9:9" s="19" customFormat="1">
      <c r="I150" s="199"/>
    </row>
    <row r="151" spans="9:9" s="19" customFormat="1">
      <c r="I151" s="199"/>
    </row>
    <row r="152" spans="9:9" s="19" customFormat="1">
      <c r="I152" s="199"/>
    </row>
    <row r="153" spans="9:9" s="19" customFormat="1">
      <c r="I153" s="199"/>
    </row>
    <row r="154" spans="9:9" s="19" customFormat="1">
      <c r="I154" s="199"/>
    </row>
    <row r="155" spans="9:9" s="19" customFormat="1">
      <c r="I155" s="199"/>
    </row>
    <row r="156" spans="9:9" s="19" customFormat="1">
      <c r="I156" s="199"/>
    </row>
    <row r="157" spans="9:9" s="19" customFormat="1">
      <c r="I157" s="199"/>
    </row>
    <row r="158" spans="9:9" s="19" customFormat="1">
      <c r="I158" s="199"/>
    </row>
    <row r="159" spans="9:9" s="19" customFormat="1">
      <c r="I159" s="199"/>
    </row>
    <row r="160" spans="9:9" s="19" customFormat="1">
      <c r="I160" s="199"/>
    </row>
    <row r="161" spans="9:9" s="19" customFormat="1">
      <c r="I161" s="199"/>
    </row>
    <row r="162" spans="9:9" s="19" customFormat="1">
      <c r="I162" s="199"/>
    </row>
    <row r="163" spans="9:9" s="19" customFormat="1">
      <c r="I163" s="199"/>
    </row>
    <row r="164" spans="9:9" s="19" customFormat="1">
      <c r="I164" s="199"/>
    </row>
    <row r="165" spans="9:9" s="19" customFormat="1">
      <c r="I165" s="199"/>
    </row>
    <row r="166" spans="9:9" s="19" customFormat="1">
      <c r="I166" s="199"/>
    </row>
    <row r="167" spans="9:9" s="19" customFormat="1">
      <c r="I167" s="199"/>
    </row>
    <row r="168" spans="9:9" s="19" customFormat="1">
      <c r="I168" s="199"/>
    </row>
    <row r="169" spans="9:9" s="19" customFormat="1">
      <c r="I169" s="199"/>
    </row>
    <row r="170" spans="9:9" s="19" customFormat="1">
      <c r="I170" s="199"/>
    </row>
    <row r="171" spans="9:9" s="19" customFormat="1">
      <c r="I171" s="199"/>
    </row>
    <row r="172" spans="9:9" s="19" customFormat="1">
      <c r="I172" s="199"/>
    </row>
    <row r="173" spans="9:9" s="19" customFormat="1">
      <c r="I173" s="199"/>
    </row>
    <row r="174" spans="9:9" s="19" customFormat="1">
      <c r="I174" s="199"/>
    </row>
    <row r="175" spans="9:9" s="19" customFormat="1">
      <c r="I175" s="199"/>
    </row>
    <row r="176" spans="9:9" s="19" customFormat="1">
      <c r="I176" s="199"/>
    </row>
    <row r="177" spans="9:9" s="19" customFormat="1">
      <c r="I177" s="199"/>
    </row>
    <row r="178" spans="9:9" s="19" customFormat="1">
      <c r="I178" s="199"/>
    </row>
    <row r="179" spans="9:9" s="19" customFormat="1">
      <c r="I179" s="199"/>
    </row>
    <row r="180" spans="9:9" s="19" customFormat="1">
      <c r="I180" s="199"/>
    </row>
    <row r="181" spans="9:9" s="19" customFormat="1">
      <c r="I181" s="199"/>
    </row>
    <row r="182" spans="9:9" s="19" customFormat="1">
      <c r="I182" s="199"/>
    </row>
    <row r="183" spans="9:9" s="19" customFormat="1">
      <c r="I183" s="199"/>
    </row>
    <row r="184" spans="9:9" s="19" customFormat="1">
      <c r="I184" s="199"/>
    </row>
    <row r="185" spans="9:9" s="19" customFormat="1">
      <c r="I185" s="199"/>
    </row>
    <row r="186" spans="9:9" s="19" customFormat="1">
      <c r="I186" s="199"/>
    </row>
    <row r="187" spans="9:9" s="19" customFormat="1">
      <c r="I187" s="199"/>
    </row>
    <row r="188" spans="9:9" s="19" customFormat="1">
      <c r="I188" s="199"/>
    </row>
    <row r="189" spans="9:9" s="19" customFormat="1">
      <c r="I189" s="199"/>
    </row>
    <row r="190" spans="9:9" s="19" customFormat="1">
      <c r="I190" s="199"/>
    </row>
    <row r="191" spans="9:9" s="19" customFormat="1">
      <c r="I191" s="199"/>
    </row>
    <row r="192" spans="9:9" s="19" customFormat="1">
      <c r="I192" s="199"/>
    </row>
    <row r="193" spans="9:9" s="19" customFormat="1">
      <c r="I193" s="199"/>
    </row>
    <row r="194" spans="9:9" s="19" customFormat="1">
      <c r="I194" s="199"/>
    </row>
    <row r="195" spans="9:9" s="19" customFormat="1">
      <c r="I195" s="199"/>
    </row>
    <row r="196" spans="9:9" s="19" customFormat="1">
      <c r="I196" s="199"/>
    </row>
    <row r="197" spans="9:9" s="19" customFormat="1">
      <c r="I197" s="199"/>
    </row>
    <row r="198" spans="9:9" s="19" customFormat="1">
      <c r="I198" s="199"/>
    </row>
    <row r="199" spans="9:9" s="19" customFormat="1">
      <c r="I199" s="199"/>
    </row>
    <row r="200" spans="9:9" s="19" customFormat="1">
      <c r="I200" s="199"/>
    </row>
    <row r="201" spans="9:9" s="19" customFormat="1">
      <c r="I201" s="199"/>
    </row>
    <row r="202" spans="9:9" s="19" customFormat="1">
      <c r="I202" s="199"/>
    </row>
    <row r="203" spans="9:9" s="19" customFormat="1">
      <c r="I203" s="199"/>
    </row>
    <row r="204" spans="9:9" s="19" customFormat="1">
      <c r="I204" s="199"/>
    </row>
    <row r="205" spans="9:9" s="19" customFormat="1">
      <c r="I205" s="199"/>
    </row>
    <row r="206" spans="9:9" s="19" customFormat="1">
      <c r="I206" s="199"/>
    </row>
    <row r="207" spans="9:9" s="19" customFormat="1">
      <c r="I207" s="199"/>
    </row>
    <row r="208" spans="9:9" s="19" customFormat="1">
      <c r="I208" s="199"/>
    </row>
    <row r="209" spans="9:9" s="19" customFormat="1">
      <c r="I209" s="199"/>
    </row>
    <row r="210" spans="9:9" s="19" customFormat="1">
      <c r="I210" s="199"/>
    </row>
    <row r="211" spans="9:9" s="19" customFormat="1">
      <c r="I211" s="199"/>
    </row>
    <row r="212" spans="9:9" s="19" customFormat="1">
      <c r="I212" s="199"/>
    </row>
    <row r="213" spans="9:9" s="19" customFormat="1">
      <c r="I213" s="199"/>
    </row>
    <row r="214" spans="9:9" s="19" customFormat="1">
      <c r="I214" s="199"/>
    </row>
    <row r="215" spans="9:9" s="19" customFormat="1">
      <c r="I215" s="199"/>
    </row>
    <row r="216" spans="9:9" s="19" customFormat="1">
      <c r="I216" s="199"/>
    </row>
    <row r="217" spans="9:9" s="19" customFormat="1">
      <c r="I217" s="199"/>
    </row>
    <row r="218" spans="9:9" s="19" customFormat="1">
      <c r="I218" s="199"/>
    </row>
    <row r="219" spans="9:9" s="19" customFormat="1">
      <c r="I219" s="199"/>
    </row>
    <row r="220" spans="9:9" s="19" customFormat="1">
      <c r="I220" s="199"/>
    </row>
    <row r="221" spans="9:9" s="19" customFormat="1">
      <c r="I221" s="199"/>
    </row>
    <row r="222" spans="9:9" s="19" customFormat="1">
      <c r="I222" s="199"/>
    </row>
    <row r="223" spans="9:9" s="19" customFormat="1">
      <c r="I223" s="199"/>
    </row>
    <row r="224" spans="9:9" s="19" customFormat="1">
      <c r="I224" s="199"/>
    </row>
    <row r="225" spans="9:9" s="19" customFormat="1">
      <c r="I225" s="199"/>
    </row>
    <row r="226" spans="9:9" s="19" customFormat="1">
      <c r="I226" s="199"/>
    </row>
    <row r="227" spans="9:9" s="19" customFormat="1">
      <c r="I227" s="199"/>
    </row>
    <row r="228" spans="9:9" s="19" customFormat="1">
      <c r="I228" s="199"/>
    </row>
    <row r="229" spans="9:9" s="19" customFormat="1">
      <c r="I229" s="199"/>
    </row>
    <row r="230" spans="9:9" s="19" customFormat="1">
      <c r="I230" s="199"/>
    </row>
    <row r="231" spans="9:9" s="19" customFormat="1">
      <c r="I231" s="199"/>
    </row>
    <row r="232" spans="9:9" s="19" customFormat="1">
      <c r="I232" s="199"/>
    </row>
    <row r="233" spans="9:9" s="19" customFormat="1">
      <c r="I233" s="199"/>
    </row>
    <row r="234" spans="9:9" s="19" customFormat="1">
      <c r="I234" s="199"/>
    </row>
    <row r="235" spans="9:9" s="19" customFormat="1">
      <c r="I235" s="199"/>
    </row>
    <row r="236" spans="9:9" s="19" customFormat="1">
      <c r="I236" s="199"/>
    </row>
    <row r="237" spans="9:9" s="19" customFormat="1">
      <c r="I237" s="199"/>
    </row>
    <row r="238" spans="9:9" s="19" customFormat="1">
      <c r="I238" s="199"/>
    </row>
    <row r="239" spans="9:9" s="19" customFormat="1">
      <c r="I239" s="199"/>
    </row>
    <row r="240" spans="9:9" s="19" customFormat="1">
      <c r="I240" s="199"/>
    </row>
    <row r="241" spans="9:9" s="19" customFormat="1">
      <c r="I241" s="199"/>
    </row>
    <row r="242" spans="9:9" s="19" customFormat="1">
      <c r="I242" s="199"/>
    </row>
    <row r="243" spans="9:9" s="19" customFormat="1">
      <c r="I243" s="199"/>
    </row>
    <row r="244" spans="9:9" s="19" customFormat="1">
      <c r="I244" s="199"/>
    </row>
    <row r="245" spans="9:9" s="19" customFormat="1">
      <c r="I245" s="199"/>
    </row>
    <row r="246" spans="9:9" s="19" customFormat="1">
      <c r="I246" s="199"/>
    </row>
    <row r="247" spans="9:9" s="19" customFormat="1">
      <c r="I247" s="199"/>
    </row>
    <row r="248" spans="9:9" s="19" customFormat="1">
      <c r="I248" s="199"/>
    </row>
    <row r="249" spans="9:9" s="19" customFormat="1">
      <c r="I249" s="199"/>
    </row>
    <row r="250" spans="9:9" s="19" customFormat="1">
      <c r="I250" s="199"/>
    </row>
    <row r="251" spans="9:9" s="19" customFormat="1">
      <c r="I251" s="199"/>
    </row>
    <row r="252" spans="9:9" s="19" customFormat="1">
      <c r="I252" s="199"/>
    </row>
    <row r="253" spans="9:9" s="19" customFormat="1">
      <c r="I253" s="199"/>
    </row>
    <row r="254" spans="9:9" s="19" customFormat="1">
      <c r="I254" s="199"/>
    </row>
    <row r="255" spans="9:9" s="19" customFormat="1">
      <c r="I255" s="199"/>
    </row>
    <row r="256" spans="9:9" s="19" customFormat="1">
      <c r="I256" s="199"/>
    </row>
    <row r="257" spans="9:9" s="19" customFormat="1">
      <c r="I257" s="199"/>
    </row>
    <row r="258" spans="9:9" s="19" customFormat="1">
      <c r="I258" s="199"/>
    </row>
    <row r="259" spans="9:9" s="19" customFormat="1">
      <c r="I259" s="199"/>
    </row>
    <row r="260" spans="9:9" s="19" customFormat="1">
      <c r="I260" s="199"/>
    </row>
    <row r="261" spans="9:9" s="19" customFormat="1">
      <c r="I261" s="199"/>
    </row>
    <row r="262" spans="9:9" s="19" customFormat="1">
      <c r="I262" s="199"/>
    </row>
    <row r="263" spans="9:9" s="19" customFormat="1">
      <c r="I263" s="199"/>
    </row>
    <row r="264" spans="9:9" s="19" customFormat="1">
      <c r="I264" s="199"/>
    </row>
    <row r="265" spans="9:9" s="19" customFormat="1">
      <c r="I265" s="199"/>
    </row>
    <row r="266" spans="9:9" s="19" customFormat="1">
      <c r="I266" s="199"/>
    </row>
    <row r="267" spans="9:9" s="19" customFormat="1">
      <c r="I267" s="199"/>
    </row>
    <row r="268" spans="9:9" s="19" customFormat="1">
      <c r="I268" s="199"/>
    </row>
    <row r="269" spans="9:9" s="19" customFormat="1">
      <c r="I269" s="199"/>
    </row>
    <row r="270" spans="9:9" s="19" customFormat="1">
      <c r="I270" s="199"/>
    </row>
    <row r="271" spans="9:9" s="19" customFormat="1">
      <c r="I271" s="199"/>
    </row>
    <row r="272" spans="9:9" s="19" customFormat="1">
      <c r="I272" s="199"/>
    </row>
    <row r="273" spans="9:9" s="19" customFormat="1">
      <c r="I273" s="199"/>
    </row>
    <row r="274" spans="9:9" s="19" customFormat="1">
      <c r="I274" s="199"/>
    </row>
    <row r="275" spans="9:9" s="19" customFormat="1">
      <c r="I275" s="199"/>
    </row>
    <row r="276" spans="9:9" s="19" customFormat="1">
      <c r="I276" s="199"/>
    </row>
    <row r="277" spans="9:9" s="19" customFormat="1">
      <c r="I277" s="199"/>
    </row>
    <row r="278" spans="9:9" s="19" customFormat="1">
      <c r="I278" s="199"/>
    </row>
    <row r="279" spans="9:9" s="19" customFormat="1">
      <c r="I279" s="199"/>
    </row>
    <row r="280" spans="9:9" s="19" customFormat="1">
      <c r="I280" s="199"/>
    </row>
    <row r="281" spans="9:9" s="19" customFormat="1">
      <c r="I281" s="199"/>
    </row>
    <row r="282" spans="9:9" s="19" customFormat="1">
      <c r="I282" s="199"/>
    </row>
    <row r="283" spans="9:9" s="19" customFormat="1">
      <c r="I283" s="199"/>
    </row>
    <row r="284" spans="9:9" s="19" customFormat="1">
      <c r="I284" s="199"/>
    </row>
    <row r="285" spans="9:9" s="19" customFormat="1">
      <c r="I285" s="199"/>
    </row>
    <row r="286" spans="9:9" s="19" customFormat="1">
      <c r="I286" s="199"/>
    </row>
    <row r="287" spans="9:9" s="19" customFormat="1">
      <c r="I287" s="199"/>
    </row>
    <row r="288" spans="9:9" s="19" customFormat="1">
      <c r="I288" s="199"/>
    </row>
    <row r="289" spans="9:9" s="19" customFormat="1">
      <c r="I289" s="199"/>
    </row>
    <row r="290" spans="9:9" s="19" customFormat="1">
      <c r="I290" s="199"/>
    </row>
    <row r="291" spans="9:9" s="19" customFormat="1">
      <c r="I291" s="199"/>
    </row>
    <row r="292" spans="9:9" s="19" customFormat="1">
      <c r="I292" s="199"/>
    </row>
    <row r="293" spans="9:9" s="19" customFormat="1">
      <c r="I293" s="199"/>
    </row>
    <row r="294" spans="9:9" s="19" customFormat="1">
      <c r="I294" s="199"/>
    </row>
    <row r="295" spans="9:9" s="19" customFormat="1">
      <c r="I295" s="199"/>
    </row>
    <row r="296" spans="9:9" s="19" customFormat="1">
      <c r="I296" s="199"/>
    </row>
    <row r="297" spans="9:9" s="19" customFormat="1">
      <c r="I297" s="199"/>
    </row>
    <row r="298" spans="9:9" s="19" customFormat="1">
      <c r="I298" s="199"/>
    </row>
    <row r="299" spans="9:9" s="19" customFormat="1"/>
    <row r="300" spans="9:9" s="19" customFormat="1"/>
    <row r="301" spans="9:9" s="19" customFormat="1"/>
    <row r="302" spans="9:9" s="19" customFormat="1"/>
    <row r="303" spans="9:9" s="19" customFormat="1"/>
    <row r="304" spans="9:9"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41"/>
  <sheetViews>
    <sheetView workbookViewId="0"/>
  </sheetViews>
  <sheetFormatPr baseColWidth="10" defaultColWidth="8.7265625" defaultRowHeight="12.5"/>
  <cols>
    <col min="1" max="1" width="13" customWidth="1"/>
    <col min="2" max="2" width="41" customWidth="1"/>
    <col min="3" max="4" width="13" customWidth="1"/>
  </cols>
  <sheetData>
    <row r="1" spans="1:4">
      <c r="A1" t="s">
        <v>826</v>
      </c>
      <c r="B1" t="s">
        <v>827</v>
      </c>
      <c r="C1" t="s">
        <v>828</v>
      </c>
      <c r="D1" t="s">
        <v>829</v>
      </c>
    </row>
    <row r="2" spans="1:4">
      <c r="A2" t="s">
        <v>830</v>
      </c>
      <c r="B2" t="s">
        <v>1040</v>
      </c>
      <c r="C2">
        <v>3944</v>
      </c>
      <c r="D2">
        <v>3922750.760000004</v>
      </c>
    </row>
    <row r="3" spans="1:4">
      <c r="A3" t="s">
        <v>830</v>
      </c>
      <c r="B3" t="s">
        <v>1041</v>
      </c>
      <c r="C3">
        <v>4287</v>
      </c>
      <c r="D3">
        <v>12896525.789999979</v>
      </c>
    </row>
    <row r="4" spans="1:4">
      <c r="A4" t="s">
        <v>830</v>
      </c>
      <c r="B4" t="s">
        <v>1042</v>
      </c>
      <c r="C4">
        <v>3820</v>
      </c>
      <c r="D4">
        <v>19051403.729999974</v>
      </c>
    </row>
    <row r="5" spans="1:4">
      <c r="A5" t="s">
        <v>830</v>
      </c>
      <c r="B5" t="s">
        <v>1043</v>
      </c>
      <c r="C5">
        <v>3546</v>
      </c>
      <c r="D5">
        <v>24780313.699999936</v>
      </c>
    </row>
    <row r="6" spans="1:4">
      <c r="A6" t="s">
        <v>830</v>
      </c>
      <c r="B6" t="s">
        <v>1044</v>
      </c>
      <c r="C6">
        <v>2568</v>
      </c>
      <c r="D6">
        <v>22954909.500000078</v>
      </c>
    </row>
    <row r="7" spans="1:4">
      <c r="A7" t="s">
        <v>830</v>
      </c>
      <c r="B7" t="s">
        <v>1045</v>
      </c>
      <c r="C7">
        <v>2382</v>
      </c>
      <c r="D7">
        <v>26181268.489999965</v>
      </c>
    </row>
    <row r="8" spans="1:4">
      <c r="A8" t="s">
        <v>830</v>
      </c>
      <c r="B8" t="s">
        <v>1046</v>
      </c>
      <c r="C8">
        <v>1902</v>
      </c>
      <c r="D8">
        <v>24704323.91000003</v>
      </c>
    </row>
    <row r="9" spans="1:4">
      <c r="A9" t="s">
        <v>830</v>
      </c>
      <c r="B9" t="s">
        <v>1047</v>
      </c>
      <c r="C9">
        <v>1809</v>
      </c>
      <c r="D9">
        <v>27178725.120000012</v>
      </c>
    </row>
    <row r="10" spans="1:4">
      <c r="A10" t="s">
        <v>830</v>
      </c>
      <c r="B10" t="s">
        <v>1048</v>
      </c>
      <c r="C10">
        <v>1509</v>
      </c>
      <c r="D10">
        <v>25615550.059999961</v>
      </c>
    </row>
    <row r="11" spans="1:4">
      <c r="A11" t="s">
        <v>830</v>
      </c>
      <c r="B11" t="s">
        <v>1049</v>
      </c>
      <c r="C11">
        <v>1358</v>
      </c>
      <c r="D11">
        <v>25795057.439999998</v>
      </c>
    </row>
    <row r="12" spans="1:4">
      <c r="A12" t="s">
        <v>830</v>
      </c>
      <c r="B12" t="s">
        <v>1050</v>
      </c>
      <c r="C12">
        <v>1144</v>
      </c>
      <c r="D12">
        <v>23973636.979999997</v>
      </c>
    </row>
    <row r="13" spans="1:4">
      <c r="A13" t="s">
        <v>830</v>
      </c>
      <c r="B13" t="s">
        <v>1051</v>
      </c>
      <c r="C13">
        <v>1023</v>
      </c>
      <c r="D13">
        <v>23470396.490000036</v>
      </c>
    </row>
    <row r="14" spans="1:4">
      <c r="A14" t="s">
        <v>830</v>
      </c>
      <c r="B14" t="s">
        <v>1052</v>
      </c>
      <c r="C14">
        <v>816</v>
      </c>
      <c r="D14">
        <v>20375977.189999983</v>
      </c>
    </row>
    <row r="15" spans="1:4">
      <c r="A15" t="s">
        <v>830</v>
      </c>
      <c r="B15" t="s">
        <v>1053</v>
      </c>
      <c r="C15">
        <v>757</v>
      </c>
      <c r="D15">
        <v>20447831.879999988</v>
      </c>
    </row>
    <row r="16" spans="1:4">
      <c r="A16" t="s">
        <v>830</v>
      </c>
      <c r="B16" t="s">
        <v>1054</v>
      </c>
      <c r="C16">
        <v>639</v>
      </c>
      <c r="D16">
        <v>18512302.199999999</v>
      </c>
    </row>
    <row r="17" spans="1:4">
      <c r="A17" t="s">
        <v>830</v>
      </c>
      <c r="B17" t="s">
        <v>1055</v>
      </c>
      <c r="C17">
        <v>619</v>
      </c>
      <c r="D17">
        <v>19157347.899999995</v>
      </c>
    </row>
    <row r="18" spans="1:4">
      <c r="A18" t="s">
        <v>830</v>
      </c>
      <c r="B18" t="s">
        <v>1056</v>
      </c>
      <c r="C18">
        <v>534</v>
      </c>
      <c r="D18">
        <v>17622300.170000009</v>
      </c>
    </row>
    <row r="19" spans="1:4">
      <c r="A19" t="s">
        <v>830</v>
      </c>
      <c r="B19" t="s">
        <v>1057</v>
      </c>
      <c r="C19">
        <v>463</v>
      </c>
      <c r="D19">
        <v>16224609.069999995</v>
      </c>
    </row>
    <row r="20" spans="1:4">
      <c r="A20" t="s">
        <v>830</v>
      </c>
      <c r="B20" t="s">
        <v>1058</v>
      </c>
      <c r="C20">
        <v>382</v>
      </c>
      <c r="D20">
        <v>14144499.609999996</v>
      </c>
    </row>
    <row r="21" spans="1:4">
      <c r="A21" t="s">
        <v>830</v>
      </c>
      <c r="B21" t="s">
        <v>1059</v>
      </c>
      <c r="C21">
        <v>371</v>
      </c>
      <c r="D21">
        <v>14456007.699999996</v>
      </c>
    </row>
    <row r="22" spans="1:4">
      <c r="A22" t="s">
        <v>830</v>
      </c>
      <c r="B22" t="s">
        <v>1060</v>
      </c>
      <c r="C22">
        <v>264</v>
      </c>
      <c r="D22">
        <v>10828904.550000003</v>
      </c>
    </row>
    <row r="23" spans="1:4">
      <c r="A23" t="s">
        <v>830</v>
      </c>
      <c r="B23" t="s">
        <v>1061</v>
      </c>
      <c r="C23">
        <v>252</v>
      </c>
      <c r="D23">
        <v>10824445.54999999</v>
      </c>
    </row>
    <row r="24" spans="1:4">
      <c r="A24" t="s">
        <v>830</v>
      </c>
      <c r="B24" t="s">
        <v>1062</v>
      </c>
      <c r="C24">
        <v>210</v>
      </c>
      <c r="D24">
        <v>9428516.7299999986</v>
      </c>
    </row>
    <row r="25" spans="1:4">
      <c r="A25" t="s">
        <v>830</v>
      </c>
      <c r="B25" t="s">
        <v>1063</v>
      </c>
      <c r="C25">
        <v>191</v>
      </c>
      <c r="D25">
        <v>8971979.9200000037</v>
      </c>
    </row>
    <row r="26" spans="1:4">
      <c r="A26" t="s">
        <v>830</v>
      </c>
      <c r="B26" t="s">
        <v>1064</v>
      </c>
      <c r="C26">
        <v>148</v>
      </c>
      <c r="D26">
        <v>7258058.5199999977</v>
      </c>
    </row>
    <row r="27" spans="1:4">
      <c r="A27" t="s">
        <v>830</v>
      </c>
      <c r="B27" t="s">
        <v>1065</v>
      </c>
      <c r="C27">
        <v>139</v>
      </c>
      <c r="D27">
        <v>7077970.8500000043</v>
      </c>
    </row>
    <row r="28" spans="1:4">
      <c r="A28" t="s">
        <v>830</v>
      </c>
      <c r="B28" t="s">
        <v>1066</v>
      </c>
      <c r="C28">
        <v>107</v>
      </c>
      <c r="D28">
        <v>5685136.5399999991</v>
      </c>
    </row>
    <row r="29" spans="1:4">
      <c r="A29" t="s">
        <v>830</v>
      </c>
      <c r="B29" t="s">
        <v>1067</v>
      </c>
      <c r="C29">
        <v>123</v>
      </c>
      <c r="D29">
        <v>6779731.0700000003</v>
      </c>
    </row>
    <row r="30" spans="1:4">
      <c r="A30" t="s">
        <v>830</v>
      </c>
      <c r="B30" t="s">
        <v>1068</v>
      </c>
      <c r="C30">
        <v>81</v>
      </c>
      <c r="D30">
        <v>4611222.6099999994</v>
      </c>
    </row>
    <row r="31" spans="1:4">
      <c r="A31" t="s">
        <v>830</v>
      </c>
      <c r="B31" t="s">
        <v>1069</v>
      </c>
      <c r="C31">
        <v>73</v>
      </c>
      <c r="D31">
        <v>4291992.2200000007</v>
      </c>
    </row>
    <row r="32" spans="1:4">
      <c r="A32" t="s">
        <v>830</v>
      </c>
      <c r="B32" t="s">
        <v>1070</v>
      </c>
      <c r="C32">
        <v>59</v>
      </c>
      <c r="D32">
        <v>3595868.2000000011</v>
      </c>
    </row>
    <row r="33" spans="1:4">
      <c r="A33" t="s">
        <v>830</v>
      </c>
      <c r="B33" t="s">
        <v>1071</v>
      </c>
      <c r="C33">
        <v>43</v>
      </c>
      <c r="D33">
        <v>2709732.2699999991</v>
      </c>
    </row>
    <row r="34" spans="1:4">
      <c r="A34" t="s">
        <v>830</v>
      </c>
      <c r="B34" t="s">
        <v>1072</v>
      </c>
      <c r="C34">
        <v>50</v>
      </c>
      <c r="D34">
        <v>3247101.8299999987</v>
      </c>
    </row>
    <row r="35" spans="1:4">
      <c r="A35" t="s">
        <v>830</v>
      </c>
      <c r="B35" t="s">
        <v>1073</v>
      </c>
      <c r="C35">
        <v>30</v>
      </c>
      <c r="D35">
        <v>2011022.79</v>
      </c>
    </row>
    <row r="36" spans="1:4">
      <c r="A36" t="s">
        <v>830</v>
      </c>
      <c r="B36" t="s">
        <v>1074</v>
      </c>
      <c r="C36">
        <v>17</v>
      </c>
      <c r="D36">
        <v>1174514.3400000001</v>
      </c>
    </row>
    <row r="37" spans="1:4">
      <c r="A37" t="s">
        <v>830</v>
      </c>
      <c r="B37" t="s">
        <v>1075</v>
      </c>
      <c r="C37">
        <v>8</v>
      </c>
      <c r="D37">
        <v>567035.16</v>
      </c>
    </row>
    <row r="38" spans="1:4">
      <c r="A38" t="s">
        <v>830</v>
      </c>
      <c r="B38" t="s">
        <v>1076</v>
      </c>
      <c r="C38">
        <v>8</v>
      </c>
      <c r="D38">
        <v>585072.31999999995</v>
      </c>
    </row>
    <row r="39" spans="1:4">
      <c r="A39" t="s">
        <v>830</v>
      </c>
      <c r="B39" t="s">
        <v>1077</v>
      </c>
      <c r="C39">
        <v>6</v>
      </c>
      <c r="D39">
        <v>451355.81999999995</v>
      </c>
    </row>
    <row r="40" spans="1:4">
      <c r="A40" t="s">
        <v>830</v>
      </c>
      <c r="B40" t="s">
        <v>1078</v>
      </c>
      <c r="C40">
        <v>1</v>
      </c>
      <c r="D40">
        <v>77906.89</v>
      </c>
    </row>
    <row r="41" spans="1:4">
      <c r="A41" t="s">
        <v>830</v>
      </c>
      <c r="B41" t="s">
        <v>1079</v>
      </c>
      <c r="C41">
        <v>4</v>
      </c>
      <c r="D41">
        <v>316073.88</v>
      </c>
    </row>
    <row r="42" spans="1:4">
      <c r="A42" t="s">
        <v>830</v>
      </c>
      <c r="B42" t="s">
        <v>1080</v>
      </c>
      <c r="C42">
        <v>8</v>
      </c>
      <c r="D42">
        <v>683732.67</v>
      </c>
    </row>
    <row r="43" spans="1:4">
      <c r="A43" t="s">
        <v>830</v>
      </c>
      <c r="B43" t="s">
        <v>1081</v>
      </c>
      <c r="D43">
        <v>125</v>
      </c>
    </row>
    <row r="44" spans="1:4">
      <c r="A44" t="s">
        <v>830</v>
      </c>
      <c r="B44" t="s">
        <v>1082</v>
      </c>
      <c r="C44">
        <v>58</v>
      </c>
      <c r="D44">
        <v>35447.449999999997</v>
      </c>
    </row>
    <row r="45" spans="1:4">
      <c r="A45" t="s">
        <v>830</v>
      </c>
      <c r="B45" t="s">
        <v>1083</v>
      </c>
      <c r="C45">
        <v>245</v>
      </c>
      <c r="D45">
        <v>1628195.5900000008</v>
      </c>
    </row>
    <row r="46" spans="1:4">
      <c r="A46" t="s">
        <v>830</v>
      </c>
      <c r="B46" t="s">
        <v>1084</v>
      </c>
      <c r="C46">
        <v>1757</v>
      </c>
      <c r="D46">
        <v>18598269.219999991</v>
      </c>
    </row>
    <row r="47" spans="1:4">
      <c r="A47" t="s">
        <v>830</v>
      </c>
      <c r="B47" t="s">
        <v>1085</v>
      </c>
      <c r="C47">
        <v>1252</v>
      </c>
      <c r="D47">
        <v>13835142.350000003</v>
      </c>
    </row>
    <row r="48" spans="1:4">
      <c r="A48" t="s">
        <v>830</v>
      </c>
      <c r="B48" t="s">
        <v>1086</v>
      </c>
      <c r="C48">
        <v>2082</v>
      </c>
      <c r="D48">
        <v>26720127.530000016</v>
      </c>
    </row>
    <row r="49" spans="1:4">
      <c r="A49" t="s">
        <v>830</v>
      </c>
      <c r="B49" t="s">
        <v>1087</v>
      </c>
      <c r="C49">
        <v>3291</v>
      </c>
      <c r="D49">
        <v>50847757.870000079</v>
      </c>
    </row>
    <row r="50" spans="1:4">
      <c r="A50" t="s">
        <v>830</v>
      </c>
      <c r="B50" t="s">
        <v>1088</v>
      </c>
      <c r="C50">
        <v>4519</v>
      </c>
      <c r="D50">
        <v>66239493.330000214</v>
      </c>
    </row>
    <row r="51" spans="1:4">
      <c r="A51" t="s">
        <v>830</v>
      </c>
      <c r="B51" t="s">
        <v>1089</v>
      </c>
      <c r="C51">
        <v>6821</v>
      </c>
      <c r="D51">
        <v>101722945.22000007</v>
      </c>
    </row>
    <row r="52" spans="1:4">
      <c r="A52" t="s">
        <v>830</v>
      </c>
      <c r="B52" t="s">
        <v>1090</v>
      </c>
      <c r="C52">
        <v>7828</v>
      </c>
      <c r="D52">
        <v>116745916.3000007</v>
      </c>
    </row>
    <row r="53" spans="1:4">
      <c r="A53" t="s">
        <v>830</v>
      </c>
      <c r="B53" t="s">
        <v>1091</v>
      </c>
      <c r="C53">
        <v>4881</v>
      </c>
      <c r="D53">
        <v>62974272.519999988</v>
      </c>
    </row>
    <row r="54" spans="1:4">
      <c r="A54" t="s">
        <v>830</v>
      </c>
      <c r="B54" t="s">
        <v>1092</v>
      </c>
      <c r="C54">
        <v>1816</v>
      </c>
      <c r="D54">
        <v>22057747.72000001</v>
      </c>
    </row>
    <row r="55" spans="1:4">
      <c r="A55" t="s">
        <v>830</v>
      </c>
      <c r="B55" t="s">
        <v>1093</v>
      </c>
      <c r="C55">
        <v>777</v>
      </c>
      <c r="D55">
        <v>8086808.3100000042</v>
      </c>
    </row>
    <row r="56" spans="1:4">
      <c r="A56" t="s">
        <v>830</v>
      </c>
      <c r="B56" t="s">
        <v>1094</v>
      </c>
      <c r="C56">
        <v>200</v>
      </c>
      <c r="D56">
        <v>2188313.3000000003</v>
      </c>
    </row>
    <row r="57" spans="1:4">
      <c r="A57" t="s">
        <v>830</v>
      </c>
      <c r="B57" t="s">
        <v>1095</v>
      </c>
      <c r="C57">
        <v>168</v>
      </c>
      <c r="D57">
        <v>962675.70999999973</v>
      </c>
    </row>
    <row r="58" spans="1:4">
      <c r="A58" t="s">
        <v>830</v>
      </c>
      <c r="B58" t="s">
        <v>1096</v>
      </c>
      <c r="D58">
        <v>35695</v>
      </c>
    </row>
    <row r="59" spans="1:4">
      <c r="A59" t="s">
        <v>830</v>
      </c>
      <c r="B59" t="s">
        <v>1097</v>
      </c>
      <c r="D59">
        <v>36506</v>
      </c>
    </row>
    <row r="60" spans="1:4">
      <c r="A60" t="s">
        <v>830</v>
      </c>
      <c r="B60" t="s">
        <v>1098</v>
      </c>
      <c r="C60">
        <v>519</v>
      </c>
      <c r="D60">
        <v>684199.27000000048</v>
      </c>
    </row>
    <row r="61" spans="1:4">
      <c r="A61" t="s">
        <v>830</v>
      </c>
      <c r="B61" t="s">
        <v>1099</v>
      </c>
      <c r="C61">
        <v>2309</v>
      </c>
      <c r="D61">
        <v>6626179.8199999835</v>
      </c>
    </row>
    <row r="62" spans="1:4">
      <c r="A62" t="s">
        <v>830</v>
      </c>
      <c r="B62" t="s">
        <v>1100</v>
      </c>
      <c r="C62">
        <v>3369</v>
      </c>
      <c r="D62">
        <v>16525858.250000188</v>
      </c>
    </row>
    <row r="63" spans="1:4">
      <c r="A63" t="s">
        <v>830</v>
      </c>
      <c r="B63" t="s">
        <v>1101</v>
      </c>
      <c r="C63">
        <v>3162</v>
      </c>
      <c r="D63">
        <v>21912238.250000142</v>
      </c>
    </row>
    <row r="64" spans="1:4">
      <c r="A64" t="s">
        <v>830</v>
      </c>
      <c r="B64" t="s">
        <v>1102</v>
      </c>
      <c r="C64">
        <v>2285</v>
      </c>
      <c r="D64">
        <v>20140378.580000062</v>
      </c>
    </row>
    <row r="65" spans="1:4">
      <c r="A65" t="s">
        <v>830</v>
      </c>
      <c r="B65" t="s">
        <v>1103</v>
      </c>
      <c r="C65">
        <v>3135</v>
      </c>
      <c r="D65">
        <v>33273390.980000079</v>
      </c>
    </row>
    <row r="66" spans="1:4">
      <c r="A66" t="s">
        <v>830</v>
      </c>
      <c r="B66" t="s">
        <v>1104</v>
      </c>
      <c r="C66">
        <v>1949</v>
      </c>
      <c r="D66">
        <v>25022623.310000002</v>
      </c>
    </row>
    <row r="67" spans="1:4">
      <c r="A67" t="s">
        <v>830</v>
      </c>
      <c r="B67" t="s">
        <v>1105</v>
      </c>
      <c r="C67">
        <v>2157</v>
      </c>
      <c r="D67">
        <v>32489780.370000023</v>
      </c>
    </row>
    <row r="68" spans="1:4">
      <c r="A68" t="s">
        <v>830</v>
      </c>
      <c r="B68" t="s">
        <v>1106</v>
      </c>
      <c r="C68">
        <v>1388</v>
      </c>
      <c r="D68">
        <v>23511056.230000027</v>
      </c>
    </row>
    <row r="69" spans="1:4">
      <c r="A69" t="s">
        <v>830</v>
      </c>
      <c r="B69" t="s">
        <v>1107</v>
      </c>
      <c r="C69">
        <v>1289</v>
      </c>
      <c r="D69">
        <v>24333309.240000062</v>
      </c>
    </row>
    <row r="70" spans="1:4">
      <c r="A70" t="s">
        <v>830</v>
      </c>
      <c r="B70" t="s">
        <v>1108</v>
      </c>
      <c r="C70">
        <v>1916</v>
      </c>
      <c r="D70">
        <v>39591395.119999699</v>
      </c>
    </row>
    <row r="71" spans="1:4">
      <c r="A71" t="s">
        <v>830</v>
      </c>
      <c r="B71" t="s">
        <v>1109</v>
      </c>
      <c r="C71">
        <v>1007</v>
      </c>
      <c r="D71">
        <v>23095476.719999991</v>
      </c>
    </row>
    <row r="72" spans="1:4">
      <c r="A72" t="s">
        <v>830</v>
      </c>
      <c r="B72" t="s">
        <v>1110</v>
      </c>
      <c r="C72">
        <v>1226</v>
      </c>
      <c r="D72">
        <v>30523264.380000025</v>
      </c>
    </row>
    <row r="73" spans="1:4">
      <c r="A73" t="s">
        <v>830</v>
      </c>
      <c r="B73" t="s">
        <v>1111</v>
      </c>
      <c r="C73">
        <v>1028</v>
      </c>
      <c r="D73">
        <v>27556345.120000061</v>
      </c>
    </row>
    <row r="74" spans="1:4">
      <c r="A74" t="s">
        <v>830</v>
      </c>
      <c r="B74" t="s">
        <v>1112</v>
      </c>
      <c r="C74">
        <v>779</v>
      </c>
      <c r="D74">
        <v>22509439.180000011</v>
      </c>
    </row>
    <row r="75" spans="1:4">
      <c r="A75" t="s">
        <v>830</v>
      </c>
      <c r="B75" t="s">
        <v>1113</v>
      </c>
      <c r="C75">
        <v>1116</v>
      </c>
      <c r="D75">
        <v>34271463.809999824</v>
      </c>
    </row>
    <row r="76" spans="1:4">
      <c r="A76" t="s">
        <v>830</v>
      </c>
      <c r="B76" t="s">
        <v>1114</v>
      </c>
      <c r="C76">
        <v>608</v>
      </c>
      <c r="D76">
        <v>20028825.09999999</v>
      </c>
    </row>
    <row r="77" spans="1:4">
      <c r="A77" t="s">
        <v>830</v>
      </c>
      <c r="B77" t="s">
        <v>1115</v>
      </c>
      <c r="C77">
        <v>649</v>
      </c>
      <c r="D77">
        <v>22671294.899999995</v>
      </c>
    </row>
    <row r="78" spans="1:4">
      <c r="A78" t="s">
        <v>830</v>
      </c>
      <c r="B78" t="s">
        <v>1116</v>
      </c>
      <c r="C78">
        <v>613</v>
      </c>
      <c r="D78">
        <v>22604640.139999956</v>
      </c>
    </row>
    <row r="79" spans="1:4">
      <c r="A79" t="s">
        <v>830</v>
      </c>
      <c r="B79" t="s">
        <v>1117</v>
      </c>
      <c r="C79">
        <v>435</v>
      </c>
      <c r="D79">
        <v>16940835.870000001</v>
      </c>
    </row>
    <row r="80" spans="1:4">
      <c r="A80" t="s">
        <v>830</v>
      </c>
      <c r="B80" t="s">
        <v>1118</v>
      </c>
      <c r="C80">
        <v>686</v>
      </c>
      <c r="D80">
        <v>28003295.709999938</v>
      </c>
    </row>
    <row r="81" spans="1:4">
      <c r="A81" t="s">
        <v>830</v>
      </c>
      <c r="B81" t="s">
        <v>1119</v>
      </c>
      <c r="C81">
        <v>389</v>
      </c>
      <c r="D81">
        <v>16707650.690000007</v>
      </c>
    </row>
    <row r="82" spans="1:4">
      <c r="A82" t="s">
        <v>830</v>
      </c>
      <c r="B82" t="s">
        <v>1120</v>
      </c>
      <c r="C82">
        <v>386</v>
      </c>
      <c r="D82">
        <v>17344387.779999994</v>
      </c>
    </row>
    <row r="83" spans="1:4">
      <c r="A83" t="s">
        <v>830</v>
      </c>
      <c r="B83" t="s">
        <v>1121</v>
      </c>
      <c r="C83">
        <v>318</v>
      </c>
      <c r="D83">
        <v>14917639.369999981</v>
      </c>
    </row>
    <row r="84" spans="1:4">
      <c r="A84" t="s">
        <v>830</v>
      </c>
      <c r="B84" t="s">
        <v>1122</v>
      </c>
      <c r="C84">
        <v>281</v>
      </c>
      <c r="D84">
        <v>13742336.550000001</v>
      </c>
    </row>
    <row r="85" spans="1:4">
      <c r="A85" t="s">
        <v>830</v>
      </c>
      <c r="B85" t="s">
        <v>1123</v>
      </c>
      <c r="C85">
        <v>432</v>
      </c>
      <c r="D85">
        <v>21773547.749999996</v>
      </c>
    </row>
    <row r="86" spans="1:4">
      <c r="A86" t="s">
        <v>830</v>
      </c>
      <c r="B86" t="s">
        <v>1124</v>
      </c>
      <c r="C86">
        <v>294</v>
      </c>
      <c r="D86">
        <v>15521851.580000022</v>
      </c>
    </row>
    <row r="87" spans="1:4">
      <c r="A87" t="s">
        <v>830</v>
      </c>
      <c r="B87" t="s">
        <v>1125</v>
      </c>
      <c r="C87">
        <v>241</v>
      </c>
      <c r="D87">
        <v>13256179.27</v>
      </c>
    </row>
    <row r="88" spans="1:4">
      <c r="A88" t="s">
        <v>830</v>
      </c>
      <c r="B88" t="s">
        <v>1126</v>
      </c>
      <c r="C88">
        <v>186</v>
      </c>
      <c r="D88">
        <v>10593398.299999988</v>
      </c>
    </row>
    <row r="89" spans="1:4">
      <c r="A89" t="s">
        <v>830</v>
      </c>
      <c r="B89" t="s">
        <v>1127</v>
      </c>
      <c r="C89">
        <v>125</v>
      </c>
      <c r="D89">
        <v>7355038.169999999</v>
      </c>
    </row>
    <row r="90" spans="1:4">
      <c r="A90" t="s">
        <v>830</v>
      </c>
      <c r="B90" t="s">
        <v>1128</v>
      </c>
      <c r="C90">
        <v>220</v>
      </c>
      <c r="D90">
        <v>13319781.74</v>
      </c>
    </row>
    <row r="91" spans="1:4">
      <c r="A91" t="s">
        <v>830</v>
      </c>
      <c r="B91" t="s">
        <v>1129</v>
      </c>
      <c r="C91">
        <v>152</v>
      </c>
      <c r="D91">
        <v>9559634.8500000071</v>
      </c>
    </row>
    <row r="92" spans="1:4">
      <c r="A92" t="s">
        <v>830</v>
      </c>
      <c r="B92" t="s">
        <v>1130</v>
      </c>
      <c r="C92">
        <v>142</v>
      </c>
      <c r="D92">
        <v>9226388.5700000003</v>
      </c>
    </row>
    <row r="93" spans="1:4">
      <c r="A93" t="s">
        <v>830</v>
      </c>
      <c r="B93" t="s">
        <v>1131</v>
      </c>
      <c r="C93">
        <v>86</v>
      </c>
      <c r="D93">
        <v>5770944.6400000015</v>
      </c>
    </row>
    <row r="94" spans="1:4">
      <c r="A94" t="s">
        <v>830</v>
      </c>
      <c r="B94" t="s">
        <v>1132</v>
      </c>
      <c r="C94">
        <v>111</v>
      </c>
      <c r="D94">
        <v>7651258.0999999978</v>
      </c>
    </row>
    <row r="95" spans="1:4">
      <c r="A95" t="s">
        <v>830</v>
      </c>
      <c r="B95" t="s">
        <v>1133</v>
      </c>
      <c r="C95">
        <v>110</v>
      </c>
      <c r="D95">
        <v>7774317.2800000003</v>
      </c>
    </row>
    <row r="96" spans="1:4">
      <c r="A96" t="s">
        <v>830</v>
      </c>
      <c r="B96" t="s">
        <v>1134</v>
      </c>
      <c r="C96">
        <v>103</v>
      </c>
      <c r="D96">
        <v>7512278.4999999981</v>
      </c>
    </row>
    <row r="97" spans="1:4">
      <c r="A97" t="s">
        <v>830</v>
      </c>
      <c r="B97" t="s">
        <v>1135</v>
      </c>
      <c r="C97">
        <v>162</v>
      </c>
      <c r="D97">
        <v>12138887</v>
      </c>
    </row>
    <row r="98" spans="1:4">
      <c r="A98" t="s">
        <v>830</v>
      </c>
      <c r="B98" t="s">
        <v>1136</v>
      </c>
      <c r="C98">
        <v>63</v>
      </c>
      <c r="D98">
        <v>4867344.0200000014</v>
      </c>
    </row>
    <row r="99" spans="1:4">
      <c r="A99" t="s">
        <v>830</v>
      </c>
      <c r="B99" t="s">
        <v>1137</v>
      </c>
      <c r="C99">
        <v>79</v>
      </c>
      <c r="D99">
        <v>6216304.8399999961</v>
      </c>
    </row>
    <row r="100" spans="1:4">
      <c r="A100" t="s">
        <v>830</v>
      </c>
      <c r="B100" t="s">
        <v>1138</v>
      </c>
      <c r="C100">
        <v>45</v>
      </c>
      <c r="D100">
        <v>3645757.6900000004</v>
      </c>
    </row>
    <row r="101" spans="1:4">
      <c r="A101" t="s">
        <v>830</v>
      </c>
      <c r="B101" t="s">
        <v>1139</v>
      </c>
      <c r="C101">
        <v>40</v>
      </c>
      <c r="D101">
        <v>3320144.689999999</v>
      </c>
    </row>
    <row r="102" spans="1:4">
      <c r="A102" t="s">
        <v>830</v>
      </c>
      <c r="B102" t="s">
        <v>1140</v>
      </c>
      <c r="C102">
        <v>36</v>
      </c>
      <c r="D102">
        <v>3065131.9499999997</v>
      </c>
    </row>
    <row r="103" spans="1:4">
      <c r="A103" t="s">
        <v>830</v>
      </c>
      <c r="B103" t="s">
        <v>1141</v>
      </c>
      <c r="C103">
        <v>18</v>
      </c>
      <c r="D103">
        <v>1562120.0999999999</v>
      </c>
    </row>
    <row r="104" spans="1:4">
      <c r="A104" t="s">
        <v>830</v>
      </c>
      <c r="B104" t="s">
        <v>1142</v>
      </c>
      <c r="C104">
        <v>14</v>
      </c>
      <c r="D104">
        <v>1246309.6199999999</v>
      </c>
    </row>
    <row r="105" spans="1:4">
      <c r="A105" t="s">
        <v>830</v>
      </c>
      <c r="B105" t="s">
        <v>1143</v>
      </c>
      <c r="C105">
        <v>11</v>
      </c>
      <c r="D105">
        <v>999428.35</v>
      </c>
    </row>
    <row r="106" spans="1:4">
      <c r="A106" t="s">
        <v>830</v>
      </c>
      <c r="B106" t="s">
        <v>1144</v>
      </c>
      <c r="C106">
        <v>2</v>
      </c>
      <c r="D106">
        <v>187344.47999999998</v>
      </c>
    </row>
    <row r="107" spans="1:4">
      <c r="A107" t="s">
        <v>830</v>
      </c>
      <c r="B107" t="s">
        <v>1145</v>
      </c>
      <c r="C107">
        <v>5</v>
      </c>
      <c r="D107">
        <v>472093.62</v>
      </c>
    </row>
    <row r="108" spans="1:4">
      <c r="A108" t="s">
        <v>830</v>
      </c>
      <c r="B108" t="s">
        <v>1146</v>
      </c>
      <c r="C108">
        <v>1</v>
      </c>
      <c r="D108">
        <v>96459.59</v>
      </c>
    </row>
    <row r="109" spans="1:4">
      <c r="A109" t="s">
        <v>830</v>
      </c>
      <c r="B109" t="s">
        <v>1147</v>
      </c>
      <c r="C109">
        <v>2</v>
      </c>
      <c r="D109">
        <v>198134.5</v>
      </c>
    </row>
    <row r="110" spans="1:4">
      <c r="A110" t="s">
        <v>830</v>
      </c>
      <c r="B110" t="s">
        <v>1148</v>
      </c>
      <c r="C110">
        <v>16</v>
      </c>
      <c r="D110">
        <v>1792769.5500000003</v>
      </c>
    </row>
    <row r="111" spans="1:4">
      <c r="A111" t="s">
        <v>831</v>
      </c>
      <c r="B111" t="s">
        <v>1149</v>
      </c>
      <c r="D111">
        <v>24145922.350000016</v>
      </c>
    </row>
    <row r="112" spans="1:4">
      <c r="A112" t="s">
        <v>830</v>
      </c>
      <c r="B112" t="s">
        <v>1150</v>
      </c>
      <c r="C112">
        <v>1</v>
      </c>
      <c r="D112">
        <v>101851.48</v>
      </c>
    </row>
    <row r="113" spans="1:4">
      <c r="A113" t="s">
        <v>830</v>
      </c>
      <c r="B113" t="s">
        <v>1151</v>
      </c>
      <c r="C113">
        <v>1</v>
      </c>
      <c r="D113">
        <v>79293.88</v>
      </c>
    </row>
    <row r="114" spans="1:4">
      <c r="A114" t="s">
        <v>830</v>
      </c>
      <c r="B114" t="s">
        <v>1152</v>
      </c>
      <c r="C114">
        <v>1</v>
      </c>
      <c r="D114">
        <v>79081.52</v>
      </c>
    </row>
    <row r="115" spans="1:4">
      <c r="A115" t="s">
        <v>830</v>
      </c>
      <c r="B115" t="s">
        <v>1153</v>
      </c>
      <c r="C115">
        <v>1</v>
      </c>
      <c r="D115">
        <v>78225.87</v>
      </c>
    </row>
    <row r="116" spans="1:4">
      <c r="A116" t="s">
        <v>830</v>
      </c>
      <c r="B116" t="s">
        <v>1154</v>
      </c>
      <c r="C116">
        <v>1</v>
      </c>
      <c r="D116">
        <v>77906.89</v>
      </c>
    </row>
    <row r="117" spans="1:4">
      <c r="A117" t="s">
        <v>830</v>
      </c>
      <c r="B117" t="s">
        <v>1155</v>
      </c>
      <c r="C117">
        <v>1</v>
      </c>
      <c r="D117">
        <v>75985.05</v>
      </c>
    </row>
    <row r="118" spans="1:4">
      <c r="A118" t="s">
        <v>830</v>
      </c>
      <c r="B118" t="s">
        <v>1156</v>
      </c>
      <c r="C118">
        <v>1</v>
      </c>
      <c r="D118">
        <v>75574.81</v>
      </c>
    </row>
    <row r="119" spans="1:4">
      <c r="A119" t="s">
        <v>830</v>
      </c>
      <c r="B119" t="s">
        <v>1157</v>
      </c>
      <c r="C119">
        <v>1</v>
      </c>
      <c r="D119">
        <v>75255.3</v>
      </c>
    </row>
    <row r="120" spans="1:4">
      <c r="A120" t="s">
        <v>830</v>
      </c>
      <c r="B120" t="s">
        <v>1158</v>
      </c>
      <c r="C120">
        <v>1</v>
      </c>
      <c r="D120">
        <v>75226.850000000006</v>
      </c>
    </row>
    <row r="121" spans="1:4">
      <c r="A121" t="s">
        <v>830</v>
      </c>
      <c r="B121" t="s">
        <v>1159</v>
      </c>
      <c r="C121">
        <v>1</v>
      </c>
      <c r="D121">
        <v>74877.27</v>
      </c>
    </row>
    <row r="122" spans="1:4">
      <c r="A122" t="s">
        <v>830</v>
      </c>
      <c r="B122" t="s">
        <v>1160</v>
      </c>
      <c r="C122">
        <v>1</v>
      </c>
      <c r="D122">
        <v>74436.539999999994</v>
      </c>
    </row>
    <row r="123" spans="1:4">
      <c r="A123" t="s">
        <v>830</v>
      </c>
      <c r="B123" t="s">
        <v>1161</v>
      </c>
      <c r="C123">
        <v>1</v>
      </c>
      <c r="D123">
        <v>87078.04</v>
      </c>
    </row>
    <row r="124" spans="1:4">
      <c r="A124" t="s">
        <v>830</v>
      </c>
      <c r="B124" t="s">
        <v>1162</v>
      </c>
      <c r="C124">
        <v>2</v>
      </c>
      <c r="D124">
        <v>74074.77</v>
      </c>
    </row>
    <row r="125" spans="1:4">
      <c r="A125" t="s">
        <v>830</v>
      </c>
      <c r="B125" t="s">
        <v>1163</v>
      </c>
      <c r="C125">
        <v>1</v>
      </c>
      <c r="D125">
        <v>73797.48</v>
      </c>
    </row>
    <row r="126" spans="1:4">
      <c r="A126" t="s">
        <v>830</v>
      </c>
      <c r="B126" t="s">
        <v>1164</v>
      </c>
      <c r="C126">
        <v>1</v>
      </c>
      <c r="D126">
        <v>73787.259999999995</v>
      </c>
    </row>
    <row r="127" spans="1:4">
      <c r="A127" t="s">
        <v>830</v>
      </c>
      <c r="B127" t="s">
        <v>1165</v>
      </c>
      <c r="C127">
        <v>1</v>
      </c>
      <c r="D127">
        <v>73657.38</v>
      </c>
    </row>
    <row r="128" spans="1:4">
      <c r="A128" t="s">
        <v>830</v>
      </c>
      <c r="B128" t="s">
        <v>1166</v>
      </c>
      <c r="C128">
        <v>1</v>
      </c>
      <c r="D128">
        <v>73367.78</v>
      </c>
    </row>
    <row r="129" spans="1:4">
      <c r="A129" t="s">
        <v>830</v>
      </c>
      <c r="B129" t="s">
        <v>1167</v>
      </c>
      <c r="C129">
        <v>1</v>
      </c>
      <c r="D129">
        <v>72803.289999999994</v>
      </c>
    </row>
    <row r="130" spans="1:4">
      <c r="A130" t="s">
        <v>830</v>
      </c>
      <c r="B130" t="s">
        <v>1168</v>
      </c>
      <c r="C130">
        <v>1</v>
      </c>
      <c r="D130">
        <v>84693.09</v>
      </c>
    </row>
    <row r="131" spans="1:4">
      <c r="A131" t="s">
        <v>830</v>
      </c>
      <c r="B131" t="s">
        <v>1169</v>
      </c>
      <c r="C131">
        <v>1</v>
      </c>
      <c r="D131">
        <v>83492.52</v>
      </c>
    </row>
    <row r="132" spans="1:4">
      <c r="A132" t="s">
        <v>830</v>
      </c>
      <c r="B132" t="s">
        <v>1170</v>
      </c>
      <c r="C132">
        <v>1</v>
      </c>
      <c r="D132">
        <v>83465.740000000005</v>
      </c>
    </row>
    <row r="133" spans="1:4">
      <c r="A133" t="s">
        <v>830</v>
      </c>
      <c r="B133" t="s">
        <v>1171</v>
      </c>
      <c r="C133">
        <v>1</v>
      </c>
      <c r="D133">
        <v>81822.320000000007</v>
      </c>
    </row>
    <row r="134" spans="1:4">
      <c r="A134" t="s">
        <v>830</v>
      </c>
      <c r="B134" t="s">
        <v>1172</v>
      </c>
      <c r="C134">
        <v>1</v>
      </c>
      <c r="D134">
        <v>81161.14</v>
      </c>
    </row>
    <row r="135" spans="1:4">
      <c r="A135" t="s">
        <v>830</v>
      </c>
      <c r="B135" t="s">
        <v>1173</v>
      </c>
      <c r="C135">
        <v>1</v>
      </c>
      <c r="D135">
        <v>80168.34</v>
      </c>
    </row>
    <row r="136" spans="1:4">
      <c r="A136" t="s">
        <v>830</v>
      </c>
      <c r="B136" t="s">
        <v>1174</v>
      </c>
      <c r="C136">
        <v>1</v>
      </c>
      <c r="D136">
        <v>79472.61</v>
      </c>
    </row>
    <row r="137" spans="1:4">
      <c r="A137" t="s">
        <v>830</v>
      </c>
      <c r="B137" t="s">
        <v>1175</v>
      </c>
      <c r="C137">
        <v>223</v>
      </c>
      <c r="D137">
        <v>6143682.8200000031</v>
      </c>
    </row>
    <row r="138" spans="1:4">
      <c r="A138" t="s">
        <v>830</v>
      </c>
      <c r="B138" t="s">
        <v>1176</v>
      </c>
      <c r="C138">
        <v>35472</v>
      </c>
      <c r="D138">
        <v>486499429.59999824</v>
      </c>
    </row>
    <row r="139" spans="1:4">
      <c r="A139" t="s">
        <v>830</v>
      </c>
      <c r="B139" t="s">
        <v>1177</v>
      </c>
      <c r="C139">
        <v>4601</v>
      </c>
      <c r="D139">
        <v>69010105.370000079</v>
      </c>
    </row>
    <row r="140" spans="1:4">
      <c r="A140" t="s">
        <v>830</v>
      </c>
      <c r="B140" t="s">
        <v>1178</v>
      </c>
      <c r="C140">
        <v>4712</v>
      </c>
      <c r="D140">
        <v>68025319.290000185</v>
      </c>
    </row>
    <row r="141" spans="1:4">
      <c r="A141" t="s">
        <v>830</v>
      </c>
      <c r="B141" t="s">
        <v>1179</v>
      </c>
      <c r="C141">
        <v>1371</v>
      </c>
      <c r="D141">
        <v>19575549.319999956</v>
      </c>
    </row>
    <row r="142" spans="1:4">
      <c r="A142" t="s">
        <v>830</v>
      </c>
      <c r="B142" t="s">
        <v>1180</v>
      </c>
      <c r="C142">
        <v>1427</v>
      </c>
      <c r="D142">
        <v>18424884.099999964</v>
      </c>
    </row>
    <row r="143" spans="1:4">
      <c r="A143" t="s">
        <v>830</v>
      </c>
      <c r="B143" t="s">
        <v>1181</v>
      </c>
      <c r="C143">
        <v>300</v>
      </c>
      <c r="D143">
        <v>4391310.0100000026</v>
      </c>
    </row>
    <row r="144" spans="1:4">
      <c r="A144" t="s">
        <v>830</v>
      </c>
      <c r="B144" t="s">
        <v>1182</v>
      </c>
      <c r="C144">
        <v>634</v>
      </c>
      <c r="D144">
        <v>9245282.8599999994</v>
      </c>
    </row>
    <row r="145" spans="1:4">
      <c r="A145" t="s">
        <v>830</v>
      </c>
      <c r="B145" t="s">
        <v>1183</v>
      </c>
      <c r="C145">
        <v>2487</v>
      </c>
      <c r="D145">
        <v>35690558.729999967</v>
      </c>
    </row>
    <row r="146" spans="1:4">
      <c r="A146" t="s">
        <v>830</v>
      </c>
      <c r="B146" t="s">
        <v>1184</v>
      </c>
      <c r="C146">
        <v>3676</v>
      </c>
      <c r="D146">
        <v>51318754.940000094</v>
      </c>
    </row>
    <row r="147" spans="1:4">
      <c r="A147" t="s">
        <v>830</v>
      </c>
      <c r="B147" t="s">
        <v>1185</v>
      </c>
      <c r="C147">
        <v>1057</v>
      </c>
      <c r="D147">
        <v>13531633.269999987</v>
      </c>
    </row>
    <row r="148" spans="1:4">
      <c r="A148" t="s">
        <v>830</v>
      </c>
      <c r="B148" t="s">
        <v>1186</v>
      </c>
      <c r="C148">
        <v>7782</v>
      </c>
      <c r="D148">
        <v>105329445.21999975</v>
      </c>
    </row>
    <row r="149" spans="1:4">
      <c r="A149" t="s">
        <v>830</v>
      </c>
      <c r="B149" t="s">
        <v>1187</v>
      </c>
      <c r="C149">
        <v>1799</v>
      </c>
      <c r="D149">
        <v>24674591.18999996</v>
      </c>
    </row>
    <row r="150" spans="1:4">
      <c r="A150" t="s">
        <v>830</v>
      </c>
      <c r="B150" t="s">
        <v>1188</v>
      </c>
      <c r="C150">
        <v>515</v>
      </c>
      <c r="D150">
        <v>6885953.0199999912</v>
      </c>
    </row>
    <row r="151" spans="1:4">
      <c r="A151" t="s">
        <v>832</v>
      </c>
      <c r="B151" t="s">
        <v>1189</v>
      </c>
      <c r="C151">
        <v>0</v>
      </c>
      <c r="D151">
        <v>0</v>
      </c>
    </row>
    <row r="152" spans="1:4">
      <c r="A152" t="s">
        <v>830</v>
      </c>
      <c r="B152" t="s">
        <v>1190</v>
      </c>
      <c r="C152">
        <v>1607</v>
      </c>
      <c r="D152">
        <v>19512437.249999933</v>
      </c>
    </row>
    <row r="153" spans="1:4">
      <c r="A153" t="s">
        <v>830</v>
      </c>
      <c r="B153" t="s">
        <v>1191</v>
      </c>
      <c r="C153">
        <v>1294</v>
      </c>
      <c r="D153">
        <v>15810666.230000025</v>
      </c>
    </row>
    <row r="154" spans="1:4">
      <c r="A154" t="s">
        <v>830</v>
      </c>
      <c r="B154" t="s">
        <v>1192</v>
      </c>
      <c r="C154">
        <v>1298</v>
      </c>
      <c r="D154">
        <v>16432790.600000035</v>
      </c>
    </row>
    <row r="155" spans="1:4">
      <c r="A155" t="s">
        <v>830</v>
      </c>
      <c r="B155" t="s">
        <v>1193</v>
      </c>
      <c r="C155">
        <v>1079</v>
      </c>
      <c r="D155">
        <v>13956341.820000011</v>
      </c>
    </row>
    <row r="156" spans="1:4">
      <c r="A156" t="s">
        <v>830</v>
      </c>
      <c r="B156" t="s">
        <v>1194</v>
      </c>
      <c r="C156">
        <v>56</v>
      </c>
      <c r="D156">
        <v>827489.20000000019</v>
      </c>
    </row>
    <row r="157" spans="1:4">
      <c r="A157" t="s">
        <v>830</v>
      </c>
      <c r="B157" t="s">
        <v>1195</v>
      </c>
      <c r="C157">
        <v>13764</v>
      </c>
      <c r="D157">
        <v>157405227.90999994</v>
      </c>
    </row>
    <row r="158" spans="1:4">
      <c r="A158" t="s">
        <v>830</v>
      </c>
      <c r="B158" t="s">
        <v>1196</v>
      </c>
      <c r="C158">
        <v>21931</v>
      </c>
      <c r="D158">
        <v>335237884.50999999</v>
      </c>
    </row>
    <row r="159" spans="1:4">
      <c r="A159" t="s">
        <v>830</v>
      </c>
      <c r="B159" t="s">
        <v>1197</v>
      </c>
      <c r="C159">
        <v>35695</v>
      </c>
      <c r="D159">
        <v>7.6603870090610274E-2</v>
      </c>
    </row>
    <row r="160" spans="1:4">
      <c r="A160" t="s">
        <v>830</v>
      </c>
      <c r="B160" t="s">
        <v>1198</v>
      </c>
      <c r="C160">
        <v>35005</v>
      </c>
      <c r="D160">
        <v>486146546.86999536</v>
      </c>
    </row>
    <row r="161" spans="1:4">
      <c r="A161" t="s">
        <v>830</v>
      </c>
      <c r="B161" t="s">
        <v>1199</v>
      </c>
      <c r="C161">
        <v>336</v>
      </c>
      <c r="D161">
        <v>6411111.0400000075</v>
      </c>
    </row>
    <row r="162" spans="1:4">
      <c r="A162" t="s">
        <v>830</v>
      </c>
      <c r="B162" t="s">
        <v>1200</v>
      </c>
      <c r="C162">
        <v>6</v>
      </c>
      <c r="D162">
        <v>85454.510000000009</v>
      </c>
    </row>
    <row r="163" spans="1:4">
      <c r="A163" t="s">
        <v>832</v>
      </c>
      <c r="B163" t="s">
        <v>1201</v>
      </c>
      <c r="C163">
        <v>0</v>
      </c>
      <c r="D163">
        <v>0</v>
      </c>
    </row>
    <row r="164" spans="1:4">
      <c r="A164" t="s">
        <v>832</v>
      </c>
      <c r="B164" t="s">
        <v>1202</v>
      </c>
      <c r="C164">
        <v>0</v>
      </c>
      <c r="D164">
        <v>0</v>
      </c>
    </row>
    <row r="165" spans="1:4">
      <c r="A165" t="s">
        <v>832</v>
      </c>
      <c r="B165" t="s">
        <v>1203</v>
      </c>
      <c r="C165">
        <v>0</v>
      </c>
      <c r="D165">
        <v>0</v>
      </c>
    </row>
    <row r="166" spans="1:4">
      <c r="A166" t="s">
        <v>832</v>
      </c>
      <c r="B166" t="s">
        <v>1204</v>
      </c>
      <c r="C166">
        <v>0</v>
      </c>
      <c r="D166">
        <v>0</v>
      </c>
    </row>
    <row r="167" spans="1:4">
      <c r="A167" t="s">
        <v>830</v>
      </c>
      <c r="B167" t="s">
        <v>1205</v>
      </c>
      <c r="C167">
        <v>26</v>
      </c>
      <c r="D167">
        <v>8680.2099999999991</v>
      </c>
    </row>
    <row r="168" spans="1:4">
      <c r="A168" t="s">
        <v>830</v>
      </c>
      <c r="B168" t="s">
        <v>1206</v>
      </c>
      <c r="C168">
        <v>230</v>
      </c>
      <c r="D168">
        <v>182774.29000000004</v>
      </c>
    </row>
    <row r="169" spans="1:4">
      <c r="A169" t="s">
        <v>830</v>
      </c>
      <c r="B169" t="s">
        <v>1207</v>
      </c>
      <c r="C169">
        <v>217</v>
      </c>
      <c r="D169">
        <v>193916.65999999995</v>
      </c>
    </row>
    <row r="170" spans="1:4">
      <c r="A170" t="s">
        <v>830</v>
      </c>
      <c r="B170" t="s">
        <v>1208</v>
      </c>
      <c r="C170">
        <v>1464</v>
      </c>
      <c r="D170">
        <v>2422513.0499999984</v>
      </c>
    </row>
    <row r="171" spans="1:4">
      <c r="A171" t="s">
        <v>830</v>
      </c>
      <c r="B171" t="s">
        <v>1209</v>
      </c>
      <c r="C171">
        <v>433</v>
      </c>
      <c r="D171">
        <v>1426964.0900000003</v>
      </c>
    </row>
    <row r="172" spans="1:4">
      <c r="A172" t="s">
        <v>830</v>
      </c>
      <c r="B172" t="s">
        <v>1210</v>
      </c>
      <c r="C172">
        <v>2413</v>
      </c>
      <c r="D172">
        <v>7636072.9200000027</v>
      </c>
    </row>
    <row r="173" spans="1:4">
      <c r="A173" t="s">
        <v>830</v>
      </c>
      <c r="B173" t="s">
        <v>1211</v>
      </c>
      <c r="C173">
        <v>2577</v>
      </c>
      <c r="D173">
        <v>14494048.840000009</v>
      </c>
    </row>
    <row r="174" spans="1:4">
      <c r="A174" t="s">
        <v>830</v>
      </c>
      <c r="B174" t="s">
        <v>1212</v>
      </c>
      <c r="C174">
        <v>601</v>
      </c>
      <c r="D174">
        <v>5165335.08</v>
      </c>
    </row>
    <row r="175" spans="1:4">
      <c r="A175" t="s">
        <v>830</v>
      </c>
      <c r="B175" t="s">
        <v>1213</v>
      </c>
      <c r="C175">
        <v>2317</v>
      </c>
      <c r="D175">
        <v>20370000.239999969</v>
      </c>
    </row>
    <row r="176" spans="1:4">
      <c r="A176" t="s">
        <v>830</v>
      </c>
      <c r="B176" t="s">
        <v>1214</v>
      </c>
      <c r="C176">
        <v>572</v>
      </c>
      <c r="D176">
        <v>7389291.7600000035</v>
      </c>
    </row>
    <row r="177" spans="1:4">
      <c r="A177" t="s">
        <v>830</v>
      </c>
      <c r="B177" t="s">
        <v>1215</v>
      </c>
      <c r="C177">
        <v>4980</v>
      </c>
      <c r="D177">
        <v>55305995.140000142</v>
      </c>
    </row>
    <row r="178" spans="1:4">
      <c r="A178" t="s">
        <v>830</v>
      </c>
      <c r="B178" t="s">
        <v>1216</v>
      </c>
      <c r="C178">
        <v>13805</v>
      </c>
      <c r="D178">
        <v>239350925.33000079</v>
      </c>
    </row>
    <row r="179" spans="1:4">
      <c r="A179" t="s">
        <v>830</v>
      </c>
      <c r="B179" t="s">
        <v>1217</v>
      </c>
      <c r="C179">
        <v>5274</v>
      </c>
      <c r="D179">
        <v>113987828.17999998</v>
      </c>
    </row>
    <row r="180" spans="1:4">
      <c r="A180" t="s">
        <v>830</v>
      </c>
      <c r="B180" t="s">
        <v>1218</v>
      </c>
      <c r="C180">
        <v>3</v>
      </c>
      <c r="D180">
        <v>151.21</v>
      </c>
    </row>
    <row r="181" spans="1:4">
      <c r="A181" t="s">
        <v>830</v>
      </c>
      <c r="B181" t="s">
        <v>1219</v>
      </c>
      <c r="C181">
        <v>678</v>
      </c>
      <c r="D181">
        <v>21278650.790000003</v>
      </c>
    </row>
    <row r="182" spans="1:4">
      <c r="A182" t="s">
        <v>830</v>
      </c>
      <c r="B182" t="s">
        <v>1220</v>
      </c>
      <c r="C182">
        <v>105</v>
      </c>
      <c r="D182">
        <v>3429964.6299999994</v>
      </c>
    </row>
    <row r="183" spans="1:4">
      <c r="A183" t="s">
        <v>830</v>
      </c>
      <c r="B183" t="s">
        <v>1221</v>
      </c>
      <c r="C183">
        <v>35695</v>
      </c>
      <c r="D183">
        <v>92.987784775574653</v>
      </c>
    </row>
    <row r="184" spans="1:4">
      <c r="A184" t="s">
        <v>830</v>
      </c>
      <c r="B184" t="s">
        <v>1222</v>
      </c>
      <c r="C184">
        <v>9223</v>
      </c>
      <c r="D184">
        <v>129869728.31999995</v>
      </c>
    </row>
    <row r="185" spans="1:4">
      <c r="A185" t="s">
        <v>830</v>
      </c>
      <c r="B185" t="s">
        <v>1223</v>
      </c>
      <c r="C185">
        <v>26472</v>
      </c>
      <c r="D185">
        <v>362773384.09999943</v>
      </c>
    </row>
    <row r="186" spans="1:4">
      <c r="A186" t="s">
        <v>830</v>
      </c>
      <c r="B186" t="s">
        <v>1224</v>
      </c>
      <c r="C186">
        <v>34295</v>
      </c>
      <c r="D186">
        <v>469209019.89999735</v>
      </c>
    </row>
    <row r="187" spans="1:4">
      <c r="A187" t="s">
        <v>830</v>
      </c>
      <c r="B187" t="s">
        <v>1225</v>
      </c>
      <c r="C187">
        <v>1400</v>
      </c>
      <c r="D187">
        <v>23434092.519999992</v>
      </c>
    </row>
    <row r="188" spans="1:4">
      <c r="A188" t="s">
        <v>830</v>
      </c>
      <c r="B188" t="s">
        <v>1226</v>
      </c>
      <c r="C188">
        <v>35695</v>
      </c>
      <c r="D188">
        <v>492643112.41999847</v>
      </c>
    </row>
    <row r="189" spans="1:4">
      <c r="A189" t="s">
        <v>830</v>
      </c>
      <c r="B189" t="s">
        <v>1227</v>
      </c>
      <c r="C189">
        <v>33608</v>
      </c>
      <c r="D189">
        <v>423053253.29000002</v>
      </c>
    </row>
    <row r="190" spans="1:4">
      <c r="A190" t="s">
        <v>830</v>
      </c>
      <c r="B190" t="s">
        <v>1228</v>
      </c>
      <c r="C190">
        <v>5</v>
      </c>
      <c r="D190">
        <v>7438.75</v>
      </c>
    </row>
    <row r="191" spans="1:4">
      <c r="A191" t="s">
        <v>830</v>
      </c>
      <c r="B191" t="s">
        <v>1229</v>
      </c>
      <c r="C191">
        <v>5</v>
      </c>
      <c r="D191">
        <v>5801.49</v>
      </c>
    </row>
    <row r="192" spans="1:4">
      <c r="A192" t="s">
        <v>830</v>
      </c>
      <c r="B192" t="s">
        <v>1230</v>
      </c>
      <c r="C192">
        <v>3</v>
      </c>
      <c r="D192">
        <v>4155.24</v>
      </c>
    </row>
    <row r="193" spans="1:4">
      <c r="A193" t="s">
        <v>830</v>
      </c>
      <c r="B193" t="s">
        <v>1231</v>
      </c>
      <c r="C193">
        <v>2</v>
      </c>
      <c r="D193">
        <v>3116.11</v>
      </c>
    </row>
    <row r="194" spans="1:4">
      <c r="A194" t="s">
        <v>830</v>
      </c>
      <c r="B194" t="s">
        <v>1232</v>
      </c>
      <c r="C194">
        <v>2</v>
      </c>
      <c r="D194">
        <v>2414.16</v>
      </c>
    </row>
    <row r="195" spans="1:4">
      <c r="A195" t="s">
        <v>830</v>
      </c>
      <c r="B195" t="s">
        <v>1233</v>
      </c>
      <c r="C195">
        <v>2</v>
      </c>
      <c r="D195">
        <v>1709.1</v>
      </c>
    </row>
    <row r="196" spans="1:4">
      <c r="A196" t="s">
        <v>830</v>
      </c>
      <c r="B196" t="s">
        <v>1234</v>
      </c>
      <c r="C196">
        <v>2</v>
      </c>
      <c r="D196">
        <v>1000.93</v>
      </c>
    </row>
    <row r="197" spans="1:4">
      <c r="A197" t="s">
        <v>830</v>
      </c>
      <c r="B197" t="s">
        <v>1235</v>
      </c>
      <c r="C197">
        <v>1</v>
      </c>
      <c r="D197">
        <v>289.63</v>
      </c>
    </row>
    <row r="198" spans="1:4">
      <c r="A198" t="s">
        <v>830</v>
      </c>
      <c r="B198" t="s">
        <v>1236</v>
      </c>
      <c r="C198">
        <v>0</v>
      </c>
      <c r="D198">
        <v>0</v>
      </c>
    </row>
    <row r="199" spans="1:4">
      <c r="A199" t="s">
        <v>830</v>
      </c>
      <c r="B199" t="s">
        <v>1237</v>
      </c>
      <c r="C199">
        <v>0</v>
      </c>
      <c r="D199">
        <v>0</v>
      </c>
    </row>
    <row r="200" spans="1:4">
      <c r="A200" t="s">
        <v>830</v>
      </c>
      <c r="B200" t="s">
        <v>1238</v>
      </c>
      <c r="C200">
        <v>33419</v>
      </c>
      <c r="D200">
        <v>415317675.44999999</v>
      </c>
    </row>
    <row r="201" spans="1:4">
      <c r="A201" t="s">
        <v>830</v>
      </c>
      <c r="B201" t="s">
        <v>1239</v>
      </c>
      <c r="C201">
        <v>33241</v>
      </c>
      <c r="D201">
        <v>407575422.13</v>
      </c>
    </row>
    <row r="202" spans="1:4">
      <c r="A202" t="s">
        <v>830</v>
      </c>
      <c r="B202" t="s">
        <v>1240</v>
      </c>
      <c r="C202">
        <v>33061</v>
      </c>
      <c r="D202">
        <v>399815462.29000002</v>
      </c>
    </row>
    <row r="203" spans="1:4">
      <c r="A203" t="s">
        <v>830</v>
      </c>
      <c r="B203" t="s">
        <v>1241</v>
      </c>
      <c r="C203">
        <v>32864</v>
      </c>
      <c r="D203">
        <v>392038819.25</v>
      </c>
    </row>
    <row r="204" spans="1:4">
      <c r="A204" t="s">
        <v>830</v>
      </c>
      <c r="B204" t="s">
        <v>1242</v>
      </c>
      <c r="C204">
        <v>32668</v>
      </c>
      <c r="D204">
        <v>384254591.31</v>
      </c>
    </row>
    <row r="205" spans="1:4">
      <c r="A205" t="s">
        <v>830</v>
      </c>
      <c r="B205" t="s">
        <v>1243</v>
      </c>
      <c r="C205">
        <v>32512</v>
      </c>
      <c r="D205">
        <v>376469643.67000002</v>
      </c>
    </row>
    <row r="206" spans="1:4">
      <c r="A206" t="s">
        <v>830</v>
      </c>
      <c r="B206" t="s">
        <v>1244</v>
      </c>
      <c r="C206">
        <v>32254</v>
      </c>
      <c r="D206">
        <v>368671655.98000002</v>
      </c>
    </row>
    <row r="207" spans="1:4">
      <c r="A207" t="s">
        <v>830</v>
      </c>
      <c r="B207" t="s">
        <v>1245</v>
      </c>
      <c r="C207">
        <v>32017</v>
      </c>
      <c r="D207">
        <v>360880270.69999999</v>
      </c>
    </row>
    <row r="208" spans="1:4">
      <c r="A208" t="s">
        <v>830</v>
      </c>
      <c r="B208" t="s">
        <v>1246</v>
      </c>
      <c r="C208">
        <v>31740</v>
      </c>
      <c r="D208">
        <v>353091881.77999997</v>
      </c>
    </row>
    <row r="209" spans="1:4">
      <c r="A209" t="s">
        <v>830</v>
      </c>
      <c r="B209" t="s">
        <v>1247</v>
      </c>
      <c r="C209">
        <v>35381</v>
      </c>
      <c r="D209">
        <v>484943989.5</v>
      </c>
    </row>
    <row r="210" spans="1:4">
      <c r="A210" t="s">
        <v>830</v>
      </c>
      <c r="B210" t="s">
        <v>1248</v>
      </c>
      <c r="C210">
        <v>31444</v>
      </c>
      <c r="D210">
        <v>345313594.06999999</v>
      </c>
    </row>
    <row r="211" spans="1:4">
      <c r="A211" t="s">
        <v>830</v>
      </c>
      <c r="B211" t="s">
        <v>1249</v>
      </c>
      <c r="C211">
        <v>31068</v>
      </c>
      <c r="D211">
        <v>337550938.57999998</v>
      </c>
    </row>
    <row r="212" spans="1:4">
      <c r="A212" t="s">
        <v>830</v>
      </c>
      <c r="B212" t="s">
        <v>1250</v>
      </c>
      <c r="C212">
        <v>30861</v>
      </c>
      <c r="D212">
        <v>329816174.31999999</v>
      </c>
    </row>
    <row r="213" spans="1:4">
      <c r="A213" t="s">
        <v>830</v>
      </c>
      <c r="B213" t="s">
        <v>1251</v>
      </c>
      <c r="C213">
        <v>30637</v>
      </c>
      <c r="D213">
        <v>322078612.79000002</v>
      </c>
    </row>
    <row r="214" spans="1:4">
      <c r="A214" t="s">
        <v>830</v>
      </c>
      <c r="B214" t="s">
        <v>1252</v>
      </c>
      <c r="C214">
        <v>30431</v>
      </c>
      <c r="D214">
        <v>314344422.27999997</v>
      </c>
    </row>
    <row r="215" spans="1:4">
      <c r="A215" t="s">
        <v>830</v>
      </c>
      <c r="B215" t="s">
        <v>1253</v>
      </c>
      <c r="C215">
        <v>30222</v>
      </c>
      <c r="D215">
        <v>306610194.13999999</v>
      </c>
    </row>
    <row r="216" spans="1:4">
      <c r="A216" t="s">
        <v>830</v>
      </c>
      <c r="B216" t="s">
        <v>1254</v>
      </c>
      <c r="C216">
        <v>30018</v>
      </c>
      <c r="D216">
        <v>298876532.32999998</v>
      </c>
    </row>
    <row r="217" spans="1:4">
      <c r="A217" t="s">
        <v>830</v>
      </c>
      <c r="B217" t="s">
        <v>1255</v>
      </c>
      <c r="C217">
        <v>29815</v>
      </c>
      <c r="D217">
        <v>291147706.98000002</v>
      </c>
    </row>
    <row r="218" spans="1:4">
      <c r="A218" t="s">
        <v>830</v>
      </c>
      <c r="B218" t="s">
        <v>1256</v>
      </c>
      <c r="C218">
        <v>29655</v>
      </c>
      <c r="D218">
        <v>283419346.33999997</v>
      </c>
    </row>
    <row r="219" spans="1:4">
      <c r="A219" t="s">
        <v>830</v>
      </c>
      <c r="B219" t="s">
        <v>1257</v>
      </c>
      <c r="C219">
        <v>29425</v>
      </c>
      <c r="D219">
        <v>275685408.98000002</v>
      </c>
    </row>
    <row r="220" spans="1:4">
      <c r="A220" t="s">
        <v>830</v>
      </c>
      <c r="B220" t="s">
        <v>1258</v>
      </c>
      <c r="C220">
        <v>35147</v>
      </c>
      <c r="D220">
        <v>477225551.5</v>
      </c>
    </row>
    <row r="221" spans="1:4">
      <c r="A221" t="s">
        <v>830</v>
      </c>
      <c r="B221" t="s">
        <v>1259</v>
      </c>
      <c r="C221">
        <v>29130</v>
      </c>
      <c r="D221">
        <v>267959218.28</v>
      </c>
    </row>
    <row r="222" spans="1:4">
      <c r="A222" t="s">
        <v>830</v>
      </c>
      <c r="B222" t="s">
        <v>1260</v>
      </c>
      <c r="C222">
        <v>28816</v>
      </c>
      <c r="D222">
        <v>260253766.12</v>
      </c>
    </row>
    <row r="223" spans="1:4">
      <c r="A223" t="s">
        <v>830</v>
      </c>
      <c r="B223" t="s">
        <v>1261</v>
      </c>
      <c r="C223">
        <v>28502</v>
      </c>
      <c r="D223">
        <v>252578463.63999999</v>
      </c>
    </row>
    <row r="224" spans="1:4">
      <c r="A224" t="s">
        <v>830</v>
      </c>
      <c r="B224" t="s">
        <v>1262</v>
      </c>
      <c r="C224">
        <v>28112</v>
      </c>
      <c r="D224">
        <v>244927258.05000001</v>
      </c>
    </row>
    <row r="225" spans="1:4">
      <c r="A225" t="s">
        <v>830</v>
      </c>
      <c r="B225" t="s">
        <v>1263</v>
      </c>
      <c r="C225">
        <v>27920</v>
      </c>
      <c r="D225">
        <v>237313528.53999999</v>
      </c>
    </row>
    <row r="226" spans="1:4">
      <c r="A226" t="s">
        <v>830</v>
      </c>
      <c r="B226" t="s">
        <v>1264</v>
      </c>
      <c r="C226">
        <v>27697</v>
      </c>
      <c r="D226">
        <v>229706173.09</v>
      </c>
    </row>
    <row r="227" spans="1:4">
      <c r="A227" t="s">
        <v>830</v>
      </c>
      <c r="B227" t="s">
        <v>1265</v>
      </c>
      <c r="C227">
        <v>27472</v>
      </c>
      <c r="D227">
        <v>222107632.78999999</v>
      </c>
    </row>
    <row r="228" spans="1:4">
      <c r="A228" t="s">
        <v>830</v>
      </c>
      <c r="B228" t="s">
        <v>1266</v>
      </c>
      <c r="C228">
        <v>27271</v>
      </c>
      <c r="D228">
        <v>214513270.47</v>
      </c>
    </row>
    <row r="229" spans="1:4">
      <c r="A229" t="s">
        <v>830</v>
      </c>
      <c r="B229" t="s">
        <v>1267</v>
      </c>
      <c r="C229">
        <v>27017</v>
      </c>
      <c r="D229">
        <v>206925326.94999999</v>
      </c>
    </row>
    <row r="230" spans="1:4">
      <c r="A230" t="s">
        <v>830</v>
      </c>
      <c r="B230" t="s">
        <v>1268</v>
      </c>
      <c r="C230">
        <v>26775</v>
      </c>
      <c r="D230">
        <v>199357397.36000001</v>
      </c>
    </row>
    <row r="231" spans="1:4">
      <c r="A231" t="s">
        <v>830</v>
      </c>
      <c r="B231" t="s">
        <v>1269</v>
      </c>
      <c r="C231">
        <v>34993</v>
      </c>
      <c r="D231">
        <v>469502507.29000002</v>
      </c>
    </row>
    <row r="232" spans="1:4">
      <c r="A232" t="s">
        <v>830</v>
      </c>
      <c r="B232" t="s">
        <v>1270</v>
      </c>
      <c r="C232">
        <v>26562</v>
      </c>
      <c r="D232">
        <v>191800361.69999999</v>
      </c>
    </row>
    <row r="233" spans="1:4">
      <c r="A233" t="s">
        <v>830</v>
      </c>
      <c r="B233" t="s">
        <v>1271</v>
      </c>
      <c r="C233">
        <v>26306</v>
      </c>
      <c r="D233">
        <v>184253813.22999999</v>
      </c>
    </row>
    <row r="234" spans="1:4">
      <c r="A234" t="s">
        <v>830</v>
      </c>
      <c r="B234" t="s">
        <v>1272</v>
      </c>
      <c r="C234">
        <v>25985</v>
      </c>
      <c r="D234">
        <v>176724932</v>
      </c>
    </row>
    <row r="235" spans="1:4">
      <c r="A235" t="s">
        <v>830</v>
      </c>
      <c r="B235" t="s">
        <v>1273</v>
      </c>
      <c r="C235">
        <v>25616</v>
      </c>
      <c r="D235">
        <v>169234464.22999999</v>
      </c>
    </row>
    <row r="236" spans="1:4">
      <c r="A236" t="s">
        <v>830</v>
      </c>
      <c r="B236" t="s">
        <v>1274</v>
      </c>
      <c r="C236">
        <v>25187</v>
      </c>
      <c r="D236">
        <v>161788726.65000001</v>
      </c>
    </row>
    <row r="237" spans="1:4">
      <c r="A237" t="s">
        <v>830</v>
      </c>
      <c r="B237" t="s">
        <v>1275</v>
      </c>
      <c r="C237">
        <v>24675</v>
      </c>
      <c r="D237">
        <v>154408856.69999999</v>
      </c>
    </row>
    <row r="238" spans="1:4">
      <c r="A238" t="s">
        <v>830</v>
      </c>
      <c r="B238" t="s">
        <v>1276</v>
      </c>
      <c r="C238">
        <v>24410</v>
      </c>
      <c r="D238">
        <v>147108120.53999999</v>
      </c>
    </row>
    <row r="239" spans="1:4">
      <c r="A239" t="s">
        <v>830</v>
      </c>
      <c r="B239" t="s">
        <v>1277</v>
      </c>
      <c r="C239">
        <v>24124</v>
      </c>
      <c r="D239">
        <v>139835284.16999999</v>
      </c>
    </row>
    <row r="240" spans="1:4">
      <c r="A240" t="s">
        <v>830</v>
      </c>
      <c r="B240" t="s">
        <v>1278</v>
      </c>
      <c r="C240">
        <v>23742</v>
      </c>
      <c r="D240">
        <v>132591284.81</v>
      </c>
    </row>
    <row r="241" spans="1:4">
      <c r="A241" t="s">
        <v>830</v>
      </c>
      <c r="B241" t="s">
        <v>1279</v>
      </c>
      <c r="C241">
        <v>23367</v>
      </c>
      <c r="D241">
        <v>125395631.40000001</v>
      </c>
    </row>
    <row r="242" spans="1:4">
      <c r="A242" t="s">
        <v>830</v>
      </c>
      <c r="B242" t="s">
        <v>1280</v>
      </c>
      <c r="C242">
        <v>34795</v>
      </c>
      <c r="D242">
        <v>461762198.27999997</v>
      </c>
    </row>
    <row r="243" spans="1:4">
      <c r="A243" t="s">
        <v>830</v>
      </c>
      <c r="B243" t="s">
        <v>1281</v>
      </c>
      <c r="C243">
        <v>22930</v>
      </c>
      <c r="D243">
        <v>118253431.20999999</v>
      </c>
    </row>
    <row r="244" spans="1:4">
      <c r="A244" t="s">
        <v>830</v>
      </c>
      <c r="B244" t="s">
        <v>1282</v>
      </c>
      <c r="C244">
        <v>22469</v>
      </c>
      <c r="D244">
        <v>111188371.15000001</v>
      </c>
    </row>
    <row r="245" spans="1:4">
      <c r="A245" t="s">
        <v>830</v>
      </c>
      <c r="B245" t="s">
        <v>1283</v>
      </c>
      <c r="C245">
        <v>22183</v>
      </c>
      <c r="D245">
        <v>104209088.54000001</v>
      </c>
    </row>
    <row r="246" spans="1:4">
      <c r="A246" t="s">
        <v>830</v>
      </c>
      <c r="B246" t="s">
        <v>1284</v>
      </c>
      <c r="C246">
        <v>21699</v>
      </c>
      <c r="D246">
        <v>97271944.560000002</v>
      </c>
    </row>
    <row r="247" spans="1:4">
      <c r="A247" t="s">
        <v>830</v>
      </c>
      <c r="B247" t="s">
        <v>1285</v>
      </c>
      <c r="C247">
        <v>21137</v>
      </c>
      <c r="D247">
        <v>90430737.920000002</v>
      </c>
    </row>
    <row r="248" spans="1:4">
      <c r="A248" t="s">
        <v>830</v>
      </c>
      <c r="B248" t="s">
        <v>1286</v>
      </c>
      <c r="C248">
        <v>20444</v>
      </c>
      <c r="D248">
        <v>83718324.230000004</v>
      </c>
    </row>
    <row r="249" spans="1:4">
      <c r="A249" t="s">
        <v>830</v>
      </c>
      <c r="B249" t="s">
        <v>1287</v>
      </c>
      <c r="C249">
        <v>19714</v>
      </c>
      <c r="D249">
        <v>77172353.189999998</v>
      </c>
    </row>
    <row r="250" spans="1:4">
      <c r="A250" t="s">
        <v>830</v>
      </c>
      <c r="B250" t="s">
        <v>1288</v>
      </c>
      <c r="C250">
        <v>18742</v>
      </c>
      <c r="D250">
        <v>70795306.239999995</v>
      </c>
    </row>
    <row r="251" spans="1:4">
      <c r="A251" t="s">
        <v>830</v>
      </c>
      <c r="B251" t="s">
        <v>1289</v>
      </c>
      <c r="C251">
        <v>18100</v>
      </c>
      <c r="D251">
        <v>64668059.270000003</v>
      </c>
    </row>
    <row r="252" spans="1:4">
      <c r="A252" t="s">
        <v>830</v>
      </c>
      <c r="B252" t="s">
        <v>1290</v>
      </c>
      <c r="C252">
        <v>17412</v>
      </c>
      <c r="D252">
        <v>58714051.979999997</v>
      </c>
    </row>
    <row r="253" spans="1:4">
      <c r="A253" t="s">
        <v>830</v>
      </c>
      <c r="B253" t="s">
        <v>1291</v>
      </c>
      <c r="C253">
        <v>34573</v>
      </c>
      <c r="D253">
        <v>454011014.85000002</v>
      </c>
    </row>
    <row r="254" spans="1:4">
      <c r="A254" t="s">
        <v>830</v>
      </c>
      <c r="B254" t="s">
        <v>1292</v>
      </c>
      <c r="C254">
        <v>16516</v>
      </c>
      <c r="D254">
        <v>52943409.43</v>
      </c>
    </row>
    <row r="255" spans="1:4">
      <c r="A255" t="s">
        <v>830</v>
      </c>
      <c r="B255" t="s">
        <v>1293</v>
      </c>
      <c r="C255">
        <v>15744</v>
      </c>
      <c r="D255">
        <v>47423136.159999996</v>
      </c>
    </row>
    <row r="256" spans="1:4">
      <c r="A256" t="s">
        <v>830</v>
      </c>
      <c r="B256" t="s">
        <v>1294</v>
      </c>
      <c r="C256">
        <v>15010</v>
      </c>
      <c r="D256">
        <v>42129297.759999998</v>
      </c>
    </row>
    <row r="257" spans="1:4">
      <c r="A257" t="s">
        <v>830</v>
      </c>
      <c r="B257" t="s">
        <v>1295</v>
      </c>
      <c r="C257">
        <v>14126</v>
      </c>
      <c r="D257">
        <v>37053771.5</v>
      </c>
    </row>
    <row r="258" spans="1:4">
      <c r="A258" t="s">
        <v>830</v>
      </c>
      <c r="B258" t="s">
        <v>1296</v>
      </c>
      <c r="C258">
        <v>13555</v>
      </c>
      <c r="D258">
        <v>32244706.780000001</v>
      </c>
    </row>
    <row r="259" spans="1:4">
      <c r="A259" t="s">
        <v>830</v>
      </c>
      <c r="B259" t="s">
        <v>1297</v>
      </c>
      <c r="C259">
        <v>12461</v>
      </c>
      <c r="D259">
        <v>27606448.710000001</v>
      </c>
    </row>
    <row r="260" spans="1:4">
      <c r="A260" t="s">
        <v>830</v>
      </c>
      <c r="B260" t="s">
        <v>1298</v>
      </c>
      <c r="C260">
        <v>11061</v>
      </c>
      <c r="D260">
        <v>23323975.879999999</v>
      </c>
    </row>
    <row r="261" spans="1:4">
      <c r="A261" t="s">
        <v>830</v>
      </c>
      <c r="B261" t="s">
        <v>1299</v>
      </c>
      <c r="C261">
        <v>9576</v>
      </c>
      <c r="D261">
        <v>19505588.350000001</v>
      </c>
    </row>
    <row r="262" spans="1:4">
      <c r="A262" t="s">
        <v>830</v>
      </c>
      <c r="B262" t="s">
        <v>1300</v>
      </c>
      <c r="C262">
        <v>8042</v>
      </c>
      <c r="D262">
        <v>16165393.550000001</v>
      </c>
    </row>
    <row r="263" spans="1:4">
      <c r="A263" t="s">
        <v>830</v>
      </c>
      <c r="B263" t="s">
        <v>1301</v>
      </c>
      <c r="C263">
        <v>5848</v>
      </c>
      <c r="D263">
        <v>13348552.960000001</v>
      </c>
    </row>
    <row r="264" spans="1:4">
      <c r="A264" t="s">
        <v>830</v>
      </c>
      <c r="B264" t="s">
        <v>1302</v>
      </c>
      <c r="C264">
        <v>34328</v>
      </c>
      <c r="D264">
        <v>446262607.74000001</v>
      </c>
    </row>
    <row r="265" spans="1:4">
      <c r="A265" t="s">
        <v>830</v>
      </c>
      <c r="B265" t="s">
        <v>1303</v>
      </c>
      <c r="C265">
        <v>5070</v>
      </c>
      <c r="D265">
        <v>11273189.699999999</v>
      </c>
    </row>
    <row r="266" spans="1:4">
      <c r="A266" t="s">
        <v>830</v>
      </c>
      <c r="B266" t="s">
        <v>1304</v>
      </c>
      <c r="C266">
        <v>4373</v>
      </c>
      <c r="D266">
        <v>9470197.5399999991</v>
      </c>
    </row>
    <row r="267" spans="1:4">
      <c r="A267" t="s">
        <v>830</v>
      </c>
      <c r="B267" t="s">
        <v>1305</v>
      </c>
      <c r="C267">
        <v>3778</v>
      </c>
      <c r="D267">
        <v>7911780.9199999999</v>
      </c>
    </row>
    <row r="268" spans="1:4">
      <c r="A268" t="s">
        <v>830</v>
      </c>
      <c r="B268" t="s">
        <v>1306</v>
      </c>
      <c r="C268">
        <v>3261</v>
      </c>
      <c r="D268">
        <v>6545613.1100000003</v>
      </c>
    </row>
    <row r="269" spans="1:4">
      <c r="A269" t="s">
        <v>830</v>
      </c>
      <c r="B269" t="s">
        <v>1307</v>
      </c>
      <c r="C269">
        <v>2782</v>
      </c>
      <c r="D269">
        <v>5362126.03</v>
      </c>
    </row>
    <row r="270" spans="1:4">
      <c r="A270" t="s">
        <v>830</v>
      </c>
      <c r="B270" t="s">
        <v>1308</v>
      </c>
      <c r="C270">
        <v>2366</v>
      </c>
      <c r="D270">
        <v>4345663.9000000004</v>
      </c>
    </row>
    <row r="271" spans="1:4">
      <c r="A271" t="s">
        <v>830</v>
      </c>
      <c r="B271" t="s">
        <v>1309</v>
      </c>
      <c r="C271">
        <v>2129</v>
      </c>
      <c r="D271">
        <v>3481283.01</v>
      </c>
    </row>
    <row r="272" spans="1:4">
      <c r="A272" t="s">
        <v>830</v>
      </c>
      <c r="B272" t="s">
        <v>1310</v>
      </c>
      <c r="C272">
        <v>1863</v>
      </c>
      <c r="D272">
        <v>2694100.94</v>
      </c>
    </row>
    <row r="273" spans="1:4">
      <c r="A273" t="s">
        <v>830</v>
      </c>
      <c r="B273" t="s">
        <v>1311</v>
      </c>
      <c r="C273">
        <v>1617</v>
      </c>
      <c r="D273">
        <v>1995642.77</v>
      </c>
    </row>
    <row r="274" spans="1:4">
      <c r="A274" t="s">
        <v>830</v>
      </c>
      <c r="B274" t="s">
        <v>1312</v>
      </c>
      <c r="C274">
        <v>1061</v>
      </c>
      <c r="D274">
        <v>1395835.75</v>
      </c>
    </row>
    <row r="275" spans="1:4">
      <c r="A275" t="s">
        <v>830</v>
      </c>
      <c r="B275" t="s">
        <v>1313</v>
      </c>
      <c r="C275">
        <v>34092</v>
      </c>
      <c r="D275">
        <v>438516763.31999999</v>
      </c>
    </row>
    <row r="276" spans="1:4">
      <c r="A276" t="s">
        <v>830</v>
      </c>
      <c r="B276" t="s">
        <v>1314</v>
      </c>
      <c r="C276">
        <v>611</v>
      </c>
      <c r="D276">
        <v>983976.95</v>
      </c>
    </row>
    <row r="277" spans="1:4">
      <c r="A277" t="s">
        <v>830</v>
      </c>
      <c r="B277" t="s">
        <v>1315</v>
      </c>
      <c r="C277">
        <v>339</v>
      </c>
      <c r="D277">
        <v>730975.75</v>
      </c>
    </row>
    <row r="278" spans="1:4">
      <c r="A278" t="s">
        <v>830</v>
      </c>
      <c r="B278" t="s">
        <v>1316</v>
      </c>
      <c r="C278">
        <v>269</v>
      </c>
      <c r="D278">
        <v>569770.53</v>
      </c>
    </row>
    <row r="279" spans="1:4">
      <c r="A279" t="s">
        <v>830</v>
      </c>
      <c r="B279" t="s">
        <v>1317</v>
      </c>
      <c r="C279">
        <v>219</v>
      </c>
      <c r="D279">
        <v>442862</v>
      </c>
    </row>
    <row r="280" spans="1:4">
      <c r="A280" t="s">
        <v>830</v>
      </c>
      <c r="B280" t="s">
        <v>1318</v>
      </c>
      <c r="C280">
        <v>174</v>
      </c>
      <c r="D280">
        <v>339051.93</v>
      </c>
    </row>
    <row r="281" spans="1:4">
      <c r="A281" t="s">
        <v>830</v>
      </c>
      <c r="B281" t="s">
        <v>1319</v>
      </c>
      <c r="C281">
        <v>140</v>
      </c>
      <c r="D281">
        <v>255880.38</v>
      </c>
    </row>
    <row r="282" spans="1:4">
      <c r="A282" t="s">
        <v>830</v>
      </c>
      <c r="B282" t="s">
        <v>1320</v>
      </c>
      <c r="C282">
        <v>103</v>
      </c>
      <c r="D282">
        <v>189364.17</v>
      </c>
    </row>
    <row r="283" spans="1:4">
      <c r="A283" t="s">
        <v>830</v>
      </c>
      <c r="B283" t="s">
        <v>1321</v>
      </c>
      <c r="C283">
        <v>82</v>
      </c>
      <c r="D283">
        <v>142514.09</v>
      </c>
    </row>
    <row r="284" spans="1:4">
      <c r="A284" t="s">
        <v>830</v>
      </c>
      <c r="B284" t="s">
        <v>1322</v>
      </c>
      <c r="C284">
        <v>59</v>
      </c>
      <c r="D284">
        <v>106478.76</v>
      </c>
    </row>
    <row r="285" spans="1:4">
      <c r="A285" t="s">
        <v>830</v>
      </c>
      <c r="B285" t="s">
        <v>1323</v>
      </c>
      <c r="C285">
        <v>43</v>
      </c>
      <c r="D285">
        <v>81285.490000000005</v>
      </c>
    </row>
    <row r="286" spans="1:4">
      <c r="A286" t="s">
        <v>830</v>
      </c>
      <c r="B286" t="s">
        <v>1324</v>
      </c>
      <c r="C286">
        <v>33783</v>
      </c>
      <c r="D286">
        <v>430777231.06</v>
      </c>
    </row>
    <row r="287" spans="1:4">
      <c r="A287" t="s">
        <v>830</v>
      </c>
      <c r="B287" t="s">
        <v>1325</v>
      </c>
      <c r="C287">
        <v>32</v>
      </c>
      <c r="D287">
        <v>61425.37</v>
      </c>
    </row>
    <row r="288" spans="1:4">
      <c r="A288" t="s">
        <v>830</v>
      </c>
      <c r="B288" t="s">
        <v>1326</v>
      </c>
      <c r="C288">
        <v>21</v>
      </c>
      <c r="D288">
        <v>46423.34</v>
      </c>
    </row>
    <row r="289" spans="1:4">
      <c r="A289" t="s">
        <v>830</v>
      </c>
      <c r="B289" t="s">
        <v>1327</v>
      </c>
      <c r="C289">
        <v>17</v>
      </c>
      <c r="D289">
        <v>37528.230000000003</v>
      </c>
    </row>
    <row r="290" spans="1:4">
      <c r="A290" t="s">
        <v>830</v>
      </c>
      <c r="B290" t="s">
        <v>1328</v>
      </c>
      <c r="C290">
        <v>15</v>
      </c>
      <c r="D290">
        <v>31098.75</v>
      </c>
    </row>
    <row r="291" spans="1:4">
      <c r="A291" t="s">
        <v>830</v>
      </c>
      <c r="B291" t="s">
        <v>1329</v>
      </c>
      <c r="C291">
        <v>12</v>
      </c>
      <c r="D291">
        <v>25304.39</v>
      </c>
    </row>
    <row r="292" spans="1:4">
      <c r="A292" t="s">
        <v>830</v>
      </c>
      <c r="B292" t="s">
        <v>1330</v>
      </c>
      <c r="C292">
        <v>9</v>
      </c>
      <c r="D292">
        <v>20451.47</v>
      </c>
    </row>
    <row r="293" spans="1:4">
      <c r="A293" t="s">
        <v>830</v>
      </c>
      <c r="B293" t="s">
        <v>1331</v>
      </c>
      <c r="C293">
        <v>9</v>
      </c>
      <c r="D293">
        <v>17326.97</v>
      </c>
    </row>
    <row r="294" spans="1:4">
      <c r="A294" t="s">
        <v>830</v>
      </c>
      <c r="B294" t="s">
        <v>1332</v>
      </c>
      <c r="C294">
        <v>8</v>
      </c>
      <c r="D294">
        <v>14178.76</v>
      </c>
    </row>
    <row r="295" spans="1:4">
      <c r="A295" t="s">
        <v>830</v>
      </c>
      <c r="B295" t="s">
        <v>1333</v>
      </c>
      <c r="C295">
        <v>6</v>
      </c>
      <c r="D295">
        <v>11208.7</v>
      </c>
    </row>
    <row r="296" spans="1:4">
      <c r="A296" t="s">
        <v>830</v>
      </c>
      <c r="B296" t="s">
        <v>1334</v>
      </c>
      <c r="C296">
        <v>6</v>
      </c>
      <c r="D296">
        <v>9329.57</v>
      </c>
    </row>
    <row r="297" spans="1:4">
      <c r="A297" t="s">
        <v>830</v>
      </c>
      <c r="B297" t="s">
        <v>1335</v>
      </c>
      <c r="C297">
        <v>1347</v>
      </c>
      <c r="D297">
        <v>904362.23000000033</v>
      </c>
    </row>
    <row r="298" spans="1:4">
      <c r="A298" t="s">
        <v>830</v>
      </c>
      <c r="B298" t="s">
        <v>1336</v>
      </c>
      <c r="C298">
        <v>1465</v>
      </c>
      <c r="D298">
        <v>2768376.7400000049</v>
      </c>
    </row>
    <row r="299" spans="1:4">
      <c r="A299" t="s">
        <v>830</v>
      </c>
      <c r="B299" t="s">
        <v>1337</v>
      </c>
      <c r="C299">
        <v>1796</v>
      </c>
      <c r="D299">
        <v>6364759.3200000012</v>
      </c>
    </row>
    <row r="300" spans="1:4">
      <c r="A300" t="s">
        <v>830</v>
      </c>
      <c r="B300" t="s">
        <v>1338</v>
      </c>
      <c r="C300">
        <v>1414</v>
      </c>
      <c r="D300">
        <v>7505756.9799999986</v>
      </c>
    </row>
    <row r="301" spans="1:4">
      <c r="A301" t="s">
        <v>830</v>
      </c>
      <c r="B301" t="s">
        <v>1339</v>
      </c>
      <c r="C301">
        <v>1959</v>
      </c>
      <c r="D301">
        <v>13185413.450000022</v>
      </c>
    </row>
    <row r="302" spans="1:4">
      <c r="A302" t="s">
        <v>830</v>
      </c>
      <c r="B302" t="s">
        <v>1340</v>
      </c>
      <c r="C302">
        <v>1712</v>
      </c>
      <c r="D302">
        <v>15047915.569999976</v>
      </c>
    </row>
    <row r="303" spans="1:4">
      <c r="A303" t="s">
        <v>830</v>
      </c>
      <c r="B303" t="s">
        <v>1341</v>
      </c>
      <c r="C303">
        <v>2619</v>
      </c>
      <c r="D303">
        <v>26765472.000000007</v>
      </c>
    </row>
    <row r="304" spans="1:4">
      <c r="A304" t="s">
        <v>830</v>
      </c>
      <c r="B304" t="s">
        <v>1342</v>
      </c>
      <c r="C304">
        <v>3654</v>
      </c>
      <c r="D304">
        <v>49087879.970000155</v>
      </c>
    </row>
    <row r="305" spans="1:4">
      <c r="A305" t="s">
        <v>830</v>
      </c>
      <c r="B305" t="s">
        <v>1343</v>
      </c>
      <c r="C305">
        <v>5594</v>
      </c>
      <c r="D305">
        <v>92515942.749999955</v>
      </c>
    </row>
    <row r="306" spans="1:4">
      <c r="A306" t="s">
        <v>830</v>
      </c>
      <c r="B306" t="s">
        <v>1344</v>
      </c>
      <c r="C306">
        <v>9061</v>
      </c>
      <c r="D306">
        <v>170310975.18000084</v>
      </c>
    </row>
    <row r="307" spans="1:4">
      <c r="A307" t="s">
        <v>830</v>
      </c>
      <c r="B307" t="s">
        <v>1345</v>
      </c>
      <c r="C307">
        <v>3210</v>
      </c>
      <c r="D307">
        <v>65411354.909999996</v>
      </c>
    </row>
    <row r="308" spans="1:4">
      <c r="A308" t="s">
        <v>830</v>
      </c>
      <c r="B308" t="s">
        <v>1346</v>
      </c>
      <c r="C308">
        <v>1690</v>
      </c>
      <c r="D308">
        <v>37422100.420000002</v>
      </c>
    </row>
    <row r="309" spans="1:4">
      <c r="A309" t="s">
        <v>830</v>
      </c>
      <c r="B309" t="s">
        <v>1347</v>
      </c>
      <c r="C309">
        <v>153</v>
      </c>
      <c r="D309">
        <v>4740969.0599999977</v>
      </c>
    </row>
    <row r="310" spans="1:4">
      <c r="A310" t="s">
        <v>830</v>
      </c>
      <c r="B310" t="s">
        <v>1348</v>
      </c>
      <c r="C310">
        <v>15</v>
      </c>
      <c r="D310">
        <v>462997.12</v>
      </c>
    </row>
    <row r="311" spans="1:4">
      <c r="A311" t="s">
        <v>830</v>
      </c>
      <c r="B311" t="s">
        <v>1349</v>
      </c>
      <c r="C311">
        <v>6</v>
      </c>
      <c r="D311">
        <v>148836.72</v>
      </c>
    </row>
    <row r="312" spans="1:4">
      <c r="A312" t="s">
        <v>830</v>
      </c>
      <c r="B312" t="s">
        <v>1350</v>
      </c>
      <c r="C312">
        <v>35695</v>
      </c>
      <c r="D312">
        <v>60.937068815420339</v>
      </c>
    </row>
    <row r="313" spans="1:4">
      <c r="A313" t="s">
        <v>832</v>
      </c>
      <c r="B313" t="s">
        <v>1351</v>
      </c>
      <c r="C313">
        <v>0</v>
      </c>
      <c r="D313">
        <v>0</v>
      </c>
    </row>
    <row r="314" spans="1:4">
      <c r="A314" t="s">
        <v>832</v>
      </c>
      <c r="B314" t="s">
        <v>1352</v>
      </c>
      <c r="C314">
        <v>0</v>
      </c>
      <c r="D314">
        <v>0</v>
      </c>
    </row>
    <row r="315" spans="1:4">
      <c r="A315" t="s">
        <v>832</v>
      </c>
      <c r="B315" t="s">
        <v>1353</v>
      </c>
      <c r="C315">
        <v>0</v>
      </c>
      <c r="D315">
        <v>0</v>
      </c>
    </row>
    <row r="316" spans="1:4">
      <c r="A316" t="s">
        <v>832</v>
      </c>
      <c r="B316" t="s">
        <v>1354</v>
      </c>
      <c r="C316">
        <v>0</v>
      </c>
      <c r="D316">
        <v>0</v>
      </c>
    </row>
    <row r="317" spans="1:4">
      <c r="A317" t="s">
        <v>832</v>
      </c>
      <c r="B317" t="s">
        <v>1355</v>
      </c>
      <c r="C317">
        <v>0</v>
      </c>
      <c r="D317">
        <v>0</v>
      </c>
    </row>
    <row r="318" spans="1:4">
      <c r="A318" t="s">
        <v>830</v>
      </c>
      <c r="B318" t="s">
        <v>1356</v>
      </c>
      <c r="C318">
        <v>475</v>
      </c>
      <c r="D318">
        <v>6628874.5499999989</v>
      </c>
    </row>
    <row r="319" spans="1:4">
      <c r="A319" t="s">
        <v>830</v>
      </c>
      <c r="B319" t="s">
        <v>1357</v>
      </c>
      <c r="C319">
        <v>2108</v>
      </c>
      <c r="D319">
        <v>31064085.78999994</v>
      </c>
    </row>
    <row r="320" spans="1:4">
      <c r="A320" t="s">
        <v>830</v>
      </c>
      <c r="B320" t="s">
        <v>1358</v>
      </c>
      <c r="C320">
        <v>1149</v>
      </c>
      <c r="D320">
        <v>13854867.279999979</v>
      </c>
    </row>
    <row r="321" spans="1:4">
      <c r="A321" t="s">
        <v>830</v>
      </c>
      <c r="B321" t="s">
        <v>1359</v>
      </c>
      <c r="C321">
        <v>2068</v>
      </c>
      <c r="D321">
        <v>25900083.220000036</v>
      </c>
    </row>
    <row r="322" spans="1:4">
      <c r="A322" t="s">
        <v>830</v>
      </c>
      <c r="B322" t="s">
        <v>1360</v>
      </c>
      <c r="C322">
        <v>6002</v>
      </c>
      <c r="D322">
        <v>87458284.830000222</v>
      </c>
    </row>
    <row r="323" spans="1:4">
      <c r="A323" t="s">
        <v>830</v>
      </c>
      <c r="B323" t="s">
        <v>1361</v>
      </c>
      <c r="C323">
        <v>8205</v>
      </c>
      <c r="D323">
        <v>121794242.65000017</v>
      </c>
    </row>
    <row r="324" spans="1:4">
      <c r="A324" t="s">
        <v>830</v>
      </c>
      <c r="B324" t="s">
        <v>1362</v>
      </c>
      <c r="C324">
        <v>4783</v>
      </c>
      <c r="D324">
        <v>69142220.449999899</v>
      </c>
    </row>
    <row r="325" spans="1:4">
      <c r="A325" t="s">
        <v>830</v>
      </c>
      <c r="B325" t="s">
        <v>1363</v>
      </c>
      <c r="C325">
        <v>4222</v>
      </c>
      <c r="D325">
        <v>57880368.540000007</v>
      </c>
    </row>
    <row r="326" spans="1:4">
      <c r="A326" t="s">
        <v>830</v>
      </c>
      <c r="B326" t="s">
        <v>1364</v>
      </c>
      <c r="C326">
        <v>2644</v>
      </c>
      <c r="D326">
        <v>33828163.740000002</v>
      </c>
    </row>
    <row r="327" spans="1:4">
      <c r="A327" t="s">
        <v>830</v>
      </c>
      <c r="B327" t="s">
        <v>1365</v>
      </c>
      <c r="C327">
        <v>1842</v>
      </c>
      <c r="D327">
        <v>23441494.010000002</v>
      </c>
    </row>
    <row r="328" spans="1:4">
      <c r="A328" t="s">
        <v>830</v>
      </c>
      <c r="B328" t="s">
        <v>1366</v>
      </c>
      <c r="C328">
        <v>1192</v>
      </c>
      <c r="D328">
        <v>12378968.500000002</v>
      </c>
    </row>
    <row r="329" spans="1:4">
      <c r="A329" t="s">
        <v>830</v>
      </c>
      <c r="B329" t="s">
        <v>1367</v>
      </c>
      <c r="C329">
        <v>596</v>
      </c>
      <c r="D329">
        <v>5786886.3899999941</v>
      </c>
    </row>
    <row r="330" spans="1:4">
      <c r="A330" t="s">
        <v>830</v>
      </c>
      <c r="B330" t="s">
        <v>1368</v>
      </c>
      <c r="C330">
        <v>143</v>
      </c>
      <c r="D330">
        <v>1399840.4699999993</v>
      </c>
    </row>
    <row r="331" spans="1:4">
      <c r="A331" t="s">
        <v>830</v>
      </c>
      <c r="B331" t="s">
        <v>1369</v>
      </c>
      <c r="C331">
        <v>105</v>
      </c>
      <c r="D331">
        <v>1153276.5100000002</v>
      </c>
    </row>
    <row r="332" spans="1:4">
      <c r="A332" t="s">
        <v>830</v>
      </c>
      <c r="B332" t="s">
        <v>1370</v>
      </c>
      <c r="C332">
        <v>60</v>
      </c>
      <c r="D332">
        <v>405815.22</v>
      </c>
    </row>
    <row r="333" spans="1:4">
      <c r="A333" t="s">
        <v>830</v>
      </c>
      <c r="B333" t="s">
        <v>1371</v>
      </c>
      <c r="C333">
        <v>48</v>
      </c>
      <c r="D333">
        <v>305876.02999999997</v>
      </c>
    </row>
    <row r="334" spans="1:4">
      <c r="A334" t="s">
        <v>830</v>
      </c>
      <c r="B334" t="s">
        <v>1372</v>
      </c>
      <c r="C334">
        <v>6</v>
      </c>
      <c r="D334">
        <v>56936.540000000008</v>
      </c>
    </row>
    <row r="335" spans="1:4">
      <c r="A335" t="s">
        <v>830</v>
      </c>
      <c r="B335" t="s">
        <v>1373</v>
      </c>
      <c r="C335">
        <v>14</v>
      </c>
      <c r="D335">
        <v>50752.09</v>
      </c>
    </row>
    <row r="336" spans="1:4">
      <c r="A336" t="s">
        <v>830</v>
      </c>
      <c r="B336" t="s">
        <v>1374</v>
      </c>
      <c r="C336">
        <v>15</v>
      </c>
      <c r="D336">
        <v>56027.37</v>
      </c>
    </row>
    <row r="337" spans="1:4">
      <c r="A337" t="s">
        <v>830</v>
      </c>
      <c r="B337" t="s">
        <v>1375</v>
      </c>
      <c r="C337">
        <v>2</v>
      </c>
      <c r="D337">
        <v>16930.32</v>
      </c>
    </row>
    <row r="338" spans="1:4">
      <c r="A338" t="s">
        <v>830</v>
      </c>
      <c r="B338" t="s">
        <v>1376</v>
      </c>
      <c r="C338">
        <v>5</v>
      </c>
      <c r="D338">
        <v>12729.47</v>
      </c>
    </row>
    <row r="339" spans="1:4">
      <c r="A339" t="s">
        <v>830</v>
      </c>
      <c r="B339" t="s">
        <v>1377</v>
      </c>
      <c r="C339">
        <v>6</v>
      </c>
      <c r="D339">
        <v>19735.09</v>
      </c>
    </row>
    <row r="340" spans="1:4">
      <c r="A340" t="s">
        <v>830</v>
      </c>
      <c r="B340" t="s">
        <v>1378</v>
      </c>
      <c r="C340">
        <v>5</v>
      </c>
      <c r="D340">
        <v>6653.3600000000006</v>
      </c>
    </row>
    <row r="341" spans="1:4">
      <c r="A341" t="s">
        <v>830</v>
      </c>
      <c r="B341" t="s">
        <v>1379</v>
      </c>
      <c r="C341">
        <v>35695</v>
      </c>
      <c r="D341">
        <v>32.050715960154996</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35"/>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15" customWidth="1"/>
  </cols>
  <sheetData>
    <row r="1" spans="1:5">
      <c r="A1" t="s">
        <v>833</v>
      </c>
      <c r="B1" t="s">
        <v>834</v>
      </c>
      <c r="C1" t="s">
        <v>835</v>
      </c>
      <c r="D1" t="s">
        <v>836</v>
      </c>
      <c r="E1" t="s">
        <v>837</v>
      </c>
    </row>
    <row r="2" spans="1:5">
      <c r="A2">
        <v>44</v>
      </c>
      <c r="B2" t="s">
        <v>1380</v>
      </c>
      <c r="D2" s="951">
        <v>45968</v>
      </c>
      <c r="E2" t="s">
        <v>1381</v>
      </c>
    </row>
    <row r="3" spans="1:5">
      <c r="A3">
        <v>44</v>
      </c>
      <c r="B3" t="s">
        <v>1382</v>
      </c>
      <c r="D3" s="951">
        <v>45973</v>
      </c>
      <c r="E3" t="s">
        <v>1381</v>
      </c>
    </row>
    <row r="4" spans="1:5">
      <c r="A4">
        <v>44</v>
      </c>
      <c r="B4" t="s">
        <v>1383</v>
      </c>
      <c r="D4" s="951">
        <v>45975</v>
      </c>
      <c r="E4" t="s">
        <v>1381</v>
      </c>
    </row>
    <row r="5" spans="1:5">
      <c r="A5">
        <v>44</v>
      </c>
      <c r="B5" t="s">
        <v>1384</v>
      </c>
      <c r="C5" s="532">
        <v>27</v>
      </c>
      <c r="E5" t="s">
        <v>1381</v>
      </c>
    </row>
    <row r="6" spans="1:5">
      <c r="A6">
        <v>44</v>
      </c>
      <c r="B6" t="s">
        <v>1385</v>
      </c>
      <c r="D6" s="951">
        <v>45975</v>
      </c>
      <c r="E6" t="s">
        <v>1381</v>
      </c>
    </row>
    <row r="7" spans="1:5">
      <c r="A7">
        <v>44</v>
      </c>
      <c r="B7" t="s">
        <v>1386</v>
      </c>
      <c r="D7" s="951">
        <v>45944</v>
      </c>
      <c r="E7" t="s">
        <v>1381</v>
      </c>
    </row>
    <row r="8" spans="1:5">
      <c r="A8">
        <v>44</v>
      </c>
      <c r="B8" t="s">
        <v>1387</v>
      </c>
      <c r="C8" s="532">
        <v>510138365.52999997</v>
      </c>
      <c r="E8" t="s">
        <v>1381</v>
      </c>
    </row>
    <row r="9" spans="1:5">
      <c r="A9">
        <v>44</v>
      </c>
      <c r="B9" t="s">
        <v>1388</v>
      </c>
      <c r="C9" s="532">
        <v>528523069.44999999</v>
      </c>
      <c r="E9" t="s">
        <v>1381</v>
      </c>
    </row>
    <row r="10" spans="1:5">
      <c r="A10">
        <v>44</v>
      </c>
      <c r="B10" t="s">
        <v>1389</v>
      </c>
      <c r="C10" s="532">
        <v>15066770.550000001</v>
      </c>
      <c r="E10" t="s">
        <v>1381</v>
      </c>
    </row>
    <row r="11" spans="1:5">
      <c r="A11">
        <v>44</v>
      </c>
      <c r="B11" t="s">
        <v>1390</v>
      </c>
      <c r="C11" s="532">
        <v>15605799.560000001</v>
      </c>
      <c r="E11" t="s">
        <v>1381</v>
      </c>
    </row>
    <row r="12" spans="1:5">
      <c r="A12">
        <v>44</v>
      </c>
      <c r="B12" t="s">
        <v>1391</v>
      </c>
      <c r="C12" s="532">
        <v>3068945.66</v>
      </c>
      <c r="E12" t="s">
        <v>1381</v>
      </c>
    </row>
    <row r="13" spans="1:5">
      <c r="A13">
        <v>44</v>
      </c>
      <c r="B13" t="s">
        <v>1392</v>
      </c>
      <c r="C13" s="532">
        <v>3182428.03</v>
      </c>
      <c r="E13" t="s">
        <v>1381</v>
      </c>
    </row>
    <row r="14" spans="1:5">
      <c r="A14">
        <v>44</v>
      </c>
      <c r="B14" t="s">
        <v>1393</v>
      </c>
      <c r="C14" s="532">
        <v>2428482.5600000001</v>
      </c>
      <c r="E14" t="s">
        <v>1381</v>
      </c>
    </row>
    <row r="15" spans="1:5">
      <c r="A15">
        <v>44</v>
      </c>
      <c r="B15" t="s">
        <v>1394</v>
      </c>
      <c r="C15" s="532">
        <v>2778904.36</v>
      </c>
      <c r="E15" t="s">
        <v>1381</v>
      </c>
    </row>
    <row r="16" spans="1:5">
      <c r="A16">
        <v>44</v>
      </c>
      <c r="B16" t="s">
        <v>1395</v>
      </c>
      <c r="C16" s="532">
        <v>0</v>
      </c>
      <c r="E16" t="s">
        <v>1381</v>
      </c>
    </row>
    <row r="17" spans="1:5">
      <c r="A17">
        <v>44</v>
      </c>
      <c r="B17" t="s">
        <v>1396</v>
      </c>
      <c r="C17" s="532">
        <v>0</v>
      </c>
      <c r="E17" t="s">
        <v>1381</v>
      </c>
    </row>
    <row r="18" spans="1:5">
      <c r="A18">
        <v>44</v>
      </c>
      <c r="B18" t="s">
        <v>1397</v>
      </c>
      <c r="C18" s="532">
        <v>492643112.42000002</v>
      </c>
      <c r="E18" t="s">
        <v>1381</v>
      </c>
    </row>
    <row r="19" spans="1:5">
      <c r="A19">
        <v>44</v>
      </c>
      <c r="B19" t="s">
        <v>1398</v>
      </c>
      <c r="C19" s="532">
        <v>510138365.52999997</v>
      </c>
      <c r="E19" t="s">
        <v>1381</v>
      </c>
    </row>
    <row r="20" spans="1:5">
      <c r="A20">
        <v>44</v>
      </c>
      <c r="B20" t="s">
        <v>1399</v>
      </c>
      <c r="C20" s="532">
        <v>6.32</v>
      </c>
      <c r="E20" t="s">
        <v>1381</v>
      </c>
    </row>
    <row r="21" spans="1:5">
      <c r="A21">
        <v>44</v>
      </c>
      <c r="B21" t="s">
        <v>1400</v>
      </c>
      <c r="C21" s="532">
        <v>33.36</v>
      </c>
      <c r="E21" t="s">
        <v>1381</v>
      </c>
    </row>
    <row r="22" spans="1:5">
      <c r="A22">
        <v>44</v>
      </c>
      <c r="B22" t="s">
        <v>1401</v>
      </c>
      <c r="C22" s="532">
        <v>492643118.74000001</v>
      </c>
      <c r="E22" t="s">
        <v>1381</v>
      </c>
    </row>
    <row r="23" spans="1:5">
      <c r="A23">
        <v>44</v>
      </c>
      <c r="B23" t="s">
        <v>1402</v>
      </c>
      <c r="C23" s="532">
        <v>510138398.88999999</v>
      </c>
      <c r="E23" t="s">
        <v>1381</v>
      </c>
    </row>
    <row r="24" spans="1:5">
      <c r="A24">
        <v>44</v>
      </c>
      <c r="B24" t="s">
        <v>1403</v>
      </c>
      <c r="C24" s="532">
        <v>5118197.6100000003</v>
      </c>
      <c r="E24" t="s">
        <v>1381</v>
      </c>
    </row>
    <row r="25" spans="1:5">
      <c r="A25">
        <v>44</v>
      </c>
      <c r="B25" t="s">
        <v>1404</v>
      </c>
      <c r="C25" s="532">
        <v>5118197.6100000003</v>
      </c>
      <c r="E25" t="s">
        <v>1381</v>
      </c>
    </row>
    <row r="26" spans="1:5">
      <c r="A26">
        <v>44</v>
      </c>
      <c r="B26" t="s">
        <v>1405</v>
      </c>
      <c r="C26" s="532">
        <v>0</v>
      </c>
      <c r="E26" t="s">
        <v>1381</v>
      </c>
    </row>
    <row r="27" spans="1:5">
      <c r="A27">
        <v>44</v>
      </c>
      <c r="B27" t="s">
        <v>1406</v>
      </c>
      <c r="C27" s="532">
        <v>0</v>
      </c>
      <c r="E27" t="s">
        <v>1381</v>
      </c>
    </row>
    <row r="28" spans="1:5">
      <c r="A28">
        <v>44</v>
      </c>
      <c r="B28" t="s">
        <v>1407</v>
      </c>
      <c r="C28" s="532">
        <v>4938873.04</v>
      </c>
      <c r="E28" t="s">
        <v>1381</v>
      </c>
    </row>
    <row r="29" spans="1:5">
      <c r="A29">
        <v>44</v>
      </c>
      <c r="B29" t="s">
        <v>1408</v>
      </c>
      <c r="C29" s="532">
        <v>4938873.04</v>
      </c>
      <c r="E29" t="s">
        <v>1381</v>
      </c>
    </row>
    <row r="30" spans="1:5">
      <c r="A30">
        <v>44</v>
      </c>
      <c r="B30" t="s">
        <v>1409</v>
      </c>
      <c r="C30" s="532">
        <v>7408309.5499999998</v>
      </c>
      <c r="E30" t="s">
        <v>1381</v>
      </c>
    </row>
    <row r="31" spans="1:5">
      <c r="A31">
        <v>44</v>
      </c>
      <c r="B31" t="s">
        <v>1410</v>
      </c>
      <c r="E31" t="s">
        <v>231</v>
      </c>
    </row>
    <row r="32" spans="1:5">
      <c r="A32">
        <v>44</v>
      </c>
      <c r="B32" t="s">
        <v>1411</v>
      </c>
      <c r="E32" t="s">
        <v>231</v>
      </c>
    </row>
    <row r="33" spans="1:5">
      <c r="A33">
        <v>44</v>
      </c>
      <c r="B33" t="s">
        <v>1412</v>
      </c>
      <c r="E33" t="s">
        <v>231</v>
      </c>
    </row>
    <row r="34" spans="1:5">
      <c r="A34">
        <v>44</v>
      </c>
      <c r="B34" t="s">
        <v>1413</v>
      </c>
      <c r="C34" s="532">
        <v>0</v>
      </c>
      <c r="E34" t="s">
        <v>231</v>
      </c>
    </row>
    <row r="35" spans="1:5">
      <c r="A35">
        <v>44</v>
      </c>
      <c r="B35" t="s">
        <v>1414</v>
      </c>
      <c r="C35" s="532">
        <v>0</v>
      </c>
      <c r="E35" t="s">
        <v>1381</v>
      </c>
    </row>
    <row r="36" spans="1:5">
      <c r="A36">
        <v>44</v>
      </c>
      <c r="B36" t="s">
        <v>1415</v>
      </c>
      <c r="E36" t="s">
        <v>43</v>
      </c>
    </row>
    <row r="37" spans="1:5">
      <c r="A37">
        <v>44</v>
      </c>
      <c r="B37" t="s">
        <v>1416</v>
      </c>
      <c r="E37" t="s">
        <v>231</v>
      </c>
    </row>
    <row r="38" spans="1:5">
      <c r="A38">
        <v>44</v>
      </c>
      <c r="B38" t="s">
        <v>1417</v>
      </c>
      <c r="E38" t="s">
        <v>231</v>
      </c>
    </row>
    <row r="39" spans="1:5">
      <c r="A39">
        <v>44</v>
      </c>
      <c r="B39" t="s">
        <v>1418</v>
      </c>
      <c r="E39" t="s">
        <v>231</v>
      </c>
    </row>
    <row r="40" spans="1:5">
      <c r="A40">
        <v>44</v>
      </c>
      <c r="B40" t="s">
        <v>1419</v>
      </c>
      <c r="C40" s="532">
        <v>0</v>
      </c>
      <c r="E40" t="s">
        <v>231</v>
      </c>
    </row>
    <row r="41" spans="1:5">
      <c r="A41">
        <v>44</v>
      </c>
      <c r="B41" t="s">
        <v>1420</v>
      </c>
      <c r="C41" s="532">
        <v>0</v>
      </c>
      <c r="E41" t="s">
        <v>1381</v>
      </c>
    </row>
    <row r="42" spans="1:5">
      <c r="A42">
        <v>44</v>
      </c>
      <c r="B42" t="s">
        <v>1421</v>
      </c>
      <c r="E42" t="s">
        <v>43</v>
      </c>
    </row>
    <row r="43" spans="1:5">
      <c r="A43">
        <v>44</v>
      </c>
      <c r="B43" t="s">
        <v>1422</v>
      </c>
      <c r="C43" s="532">
        <v>0</v>
      </c>
      <c r="E43" t="s">
        <v>1381</v>
      </c>
    </row>
    <row r="44" spans="1:5">
      <c r="A44">
        <v>44</v>
      </c>
      <c r="B44" t="s">
        <v>1423</v>
      </c>
      <c r="C44" s="532">
        <v>2428482.5600000001</v>
      </c>
      <c r="E44" t="s">
        <v>1381</v>
      </c>
    </row>
    <row r="45" spans="1:5">
      <c r="A45">
        <v>44</v>
      </c>
      <c r="B45" t="s">
        <v>1424</v>
      </c>
      <c r="C45" s="532">
        <v>50973.52</v>
      </c>
      <c r="E45" t="s">
        <v>1381</v>
      </c>
    </row>
    <row r="46" spans="1:5">
      <c r="A46">
        <v>44</v>
      </c>
      <c r="B46" t="s">
        <v>1425</v>
      </c>
      <c r="C46" s="532">
        <v>120</v>
      </c>
      <c r="E46" t="s">
        <v>1381</v>
      </c>
    </row>
    <row r="47" spans="1:5">
      <c r="A47">
        <v>44</v>
      </c>
      <c r="B47" t="s">
        <v>1426</v>
      </c>
      <c r="C47" s="532">
        <v>47515646.829999998</v>
      </c>
      <c r="E47" t="s">
        <v>1381</v>
      </c>
    </row>
    <row r="48" spans="1:5">
      <c r="A48">
        <v>44</v>
      </c>
      <c r="B48" t="s">
        <v>1427</v>
      </c>
      <c r="C48" s="532">
        <v>824939.77</v>
      </c>
      <c r="E48" t="s">
        <v>1381</v>
      </c>
    </row>
    <row r="49" spans="1:5">
      <c r="A49">
        <v>44</v>
      </c>
      <c r="B49" t="s">
        <v>1428</v>
      </c>
      <c r="C49" s="532">
        <v>2221</v>
      </c>
      <c r="E49" t="s">
        <v>1381</v>
      </c>
    </row>
    <row r="50" spans="1:5">
      <c r="A50">
        <v>44</v>
      </c>
      <c r="B50" t="s">
        <v>1429</v>
      </c>
      <c r="E50" t="s">
        <v>1430</v>
      </c>
    </row>
    <row r="51" spans="1:5">
      <c r="A51">
        <v>44</v>
      </c>
      <c r="B51" t="s">
        <v>1431</v>
      </c>
      <c r="C51" s="532">
        <v>4.07E-2</v>
      </c>
      <c r="E51" t="s">
        <v>1381</v>
      </c>
    </row>
    <row r="52" spans="1:5">
      <c r="A52">
        <v>44</v>
      </c>
      <c r="B52" t="s">
        <v>1432</v>
      </c>
      <c r="C52" s="532">
        <v>4.2900000000000001E-2</v>
      </c>
      <c r="E52" t="s">
        <v>1381</v>
      </c>
    </row>
    <row r="53" spans="1:5">
      <c r="A53">
        <v>44</v>
      </c>
      <c r="B53" t="s">
        <v>1433</v>
      </c>
      <c r="C53" s="532">
        <v>0</v>
      </c>
      <c r="E53" t="s">
        <v>1381</v>
      </c>
    </row>
    <row r="54" spans="1:5">
      <c r="A54">
        <v>44</v>
      </c>
      <c r="B54" t="s">
        <v>1434</v>
      </c>
      <c r="C54" s="532">
        <v>0</v>
      </c>
      <c r="E54" t="s">
        <v>1381</v>
      </c>
    </row>
    <row r="55" spans="1:5">
      <c r="A55">
        <v>44</v>
      </c>
      <c r="B55" t="s">
        <v>1435</v>
      </c>
      <c r="C55" s="532">
        <v>0</v>
      </c>
      <c r="E55" t="s">
        <v>1381</v>
      </c>
    </row>
    <row r="56" spans="1:5">
      <c r="A56">
        <v>44</v>
      </c>
      <c r="B56" t="s">
        <v>1436</v>
      </c>
      <c r="C56" s="532">
        <v>0</v>
      </c>
      <c r="E56" t="s">
        <v>1381</v>
      </c>
    </row>
    <row r="57" spans="1:5">
      <c r="A57">
        <v>44</v>
      </c>
      <c r="B57" t="s">
        <v>1437</v>
      </c>
      <c r="C57" s="532">
        <v>0</v>
      </c>
      <c r="E57" t="s">
        <v>1381</v>
      </c>
    </row>
    <row r="58" spans="1:5">
      <c r="A58">
        <v>44</v>
      </c>
      <c r="B58" t="s">
        <v>1438</v>
      </c>
      <c r="C58" s="532">
        <v>0</v>
      </c>
      <c r="E58" t="s">
        <v>1381</v>
      </c>
    </row>
    <row r="59" spans="1:5">
      <c r="A59">
        <v>44</v>
      </c>
      <c r="B59" t="s">
        <v>1439</v>
      </c>
      <c r="C59" s="532">
        <v>0</v>
      </c>
      <c r="E59" t="s">
        <v>1381</v>
      </c>
    </row>
    <row r="60" spans="1:5">
      <c r="A60">
        <v>44</v>
      </c>
      <c r="B60" t="s">
        <v>1440</v>
      </c>
      <c r="C60" s="532">
        <v>0</v>
      </c>
      <c r="E60" t="s">
        <v>1381</v>
      </c>
    </row>
    <row r="61" spans="1:5">
      <c r="A61">
        <v>44</v>
      </c>
      <c r="B61" t="s">
        <v>1441</v>
      </c>
      <c r="C61" s="532">
        <v>0</v>
      </c>
      <c r="E61" t="s">
        <v>1381</v>
      </c>
    </row>
    <row r="62" spans="1:5">
      <c r="A62">
        <v>44</v>
      </c>
      <c r="B62" t="s">
        <v>1442</v>
      </c>
      <c r="C62" s="532">
        <v>0</v>
      </c>
      <c r="E62" t="s">
        <v>1381</v>
      </c>
    </row>
    <row r="63" spans="1:5">
      <c r="A63">
        <v>44</v>
      </c>
      <c r="B63" t="s">
        <v>1443</v>
      </c>
      <c r="C63" s="532">
        <v>0</v>
      </c>
      <c r="E63" t="s">
        <v>1381</v>
      </c>
    </row>
    <row r="64" spans="1:5">
      <c r="A64">
        <v>44</v>
      </c>
      <c r="B64" t="s">
        <v>1444</v>
      </c>
      <c r="C64" s="532">
        <v>0</v>
      </c>
      <c r="E64" t="s">
        <v>1381</v>
      </c>
    </row>
    <row r="65" spans="1:5">
      <c r="A65">
        <v>44</v>
      </c>
      <c r="B65" t="s">
        <v>1445</v>
      </c>
      <c r="C65" s="532">
        <v>0</v>
      </c>
      <c r="E65" t="s">
        <v>1381</v>
      </c>
    </row>
    <row r="66" spans="1:5">
      <c r="A66">
        <v>44</v>
      </c>
      <c r="B66" t="s">
        <v>1446</v>
      </c>
      <c r="C66" s="532">
        <v>0</v>
      </c>
      <c r="E66" t="s">
        <v>1381</v>
      </c>
    </row>
    <row r="67" spans="1:5">
      <c r="A67">
        <v>44</v>
      </c>
      <c r="B67" t="s">
        <v>1447</v>
      </c>
      <c r="C67" s="532">
        <v>0</v>
      </c>
      <c r="E67" t="s">
        <v>1381</v>
      </c>
    </row>
    <row r="68" spans="1:5">
      <c r="A68">
        <v>44</v>
      </c>
      <c r="B68" t="s">
        <v>1448</v>
      </c>
      <c r="C68" s="532">
        <v>0</v>
      </c>
      <c r="E68" t="s">
        <v>1381</v>
      </c>
    </row>
    <row r="69" spans="1:5">
      <c r="A69">
        <v>44</v>
      </c>
      <c r="B69" t="s">
        <v>1449</v>
      </c>
      <c r="C69" s="532">
        <v>0</v>
      </c>
      <c r="E69" t="s">
        <v>1381</v>
      </c>
    </row>
    <row r="70" spans="1:5">
      <c r="A70">
        <v>44</v>
      </c>
      <c r="B70" t="s">
        <v>1450</v>
      </c>
      <c r="C70" s="532">
        <v>0</v>
      </c>
      <c r="E70" t="s">
        <v>1381</v>
      </c>
    </row>
    <row r="71" spans="1:5">
      <c r="A71">
        <v>44</v>
      </c>
      <c r="B71" t="s">
        <v>1451</v>
      </c>
      <c r="C71" s="532">
        <v>0</v>
      </c>
      <c r="E71" t="s">
        <v>1381</v>
      </c>
    </row>
    <row r="72" spans="1:5">
      <c r="A72">
        <v>44</v>
      </c>
      <c r="B72" t="s">
        <v>1452</v>
      </c>
      <c r="C72" s="532">
        <v>0</v>
      </c>
      <c r="E72" t="s">
        <v>1381</v>
      </c>
    </row>
    <row r="73" spans="1:5">
      <c r="A73">
        <v>44</v>
      </c>
      <c r="B73" t="s">
        <v>1453</v>
      </c>
      <c r="C73" s="532">
        <v>0</v>
      </c>
      <c r="E73" t="s">
        <v>1381</v>
      </c>
    </row>
    <row r="74" spans="1:5">
      <c r="A74">
        <v>44</v>
      </c>
      <c r="B74" t="s">
        <v>1454</v>
      </c>
      <c r="C74" s="532">
        <v>0</v>
      </c>
      <c r="E74" t="s">
        <v>1381</v>
      </c>
    </row>
    <row r="75" spans="1:5">
      <c r="A75">
        <v>44</v>
      </c>
      <c r="B75" t="s">
        <v>1455</v>
      </c>
      <c r="C75" s="532">
        <v>0</v>
      </c>
      <c r="E75" t="s">
        <v>1381</v>
      </c>
    </row>
    <row r="76" spans="1:5">
      <c r="A76">
        <v>44</v>
      </c>
      <c r="B76" t="s">
        <v>1456</v>
      </c>
      <c r="C76" s="532">
        <v>0</v>
      </c>
      <c r="E76" t="s">
        <v>1381</v>
      </c>
    </row>
    <row r="77" spans="1:5">
      <c r="A77">
        <v>44</v>
      </c>
      <c r="B77" t="s">
        <v>1457</v>
      </c>
      <c r="C77" s="532">
        <v>3908886.27</v>
      </c>
      <c r="E77" t="s">
        <v>1381</v>
      </c>
    </row>
    <row r="78" spans="1:5">
      <c r="A78">
        <v>44</v>
      </c>
      <c r="B78" t="s">
        <v>1458</v>
      </c>
      <c r="C78" s="532">
        <v>2428482.5600000001</v>
      </c>
      <c r="E78" t="s">
        <v>1381</v>
      </c>
    </row>
    <row r="79" spans="1:5">
      <c r="A79">
        <v>44</v>
      </c>
      <c r="B79" t="s">
        <v>1459</v>
      </c>
      <c r="C79" s="532">
        <v>1272532.6499999999</v>
      </c>
      <c r="E79" t="s">
        <v>1381</v>
      </c>
    </row>
    <row r="80" spans="1:5">
      <c r="A80">
        <v>44</v>
      </c>
      <c r="B80" t="s">
        <v>1460</v>
      </c>
      <c r="C80" s="532">
        <v>5064836.18</v>
      </c>
      <c r="E80" t="s">
        <v>1381</v>
      </c>
    </row>
    <row r="81" spans="1:5">
      <c r="A81">
        <v>44</v>
      </c>
      <c r="B81" t="s">
        <v>1461</v>
      </c>
      <c r="C81" s="532">
        <v>4.2900000000000001E-2</v>
      </c>
      <c r="E81" t="s">
        <v>1381</v>
      </c>
    </row>
    <row r="82" spans="1:5">
      <c r="A82">
        <v>44</v>
      </c>
      <c r="B82" t="s">
        <v>1462</v>
      </c>
      <c r="C82" s="532">
        <v>5.25</v>
      </c>
      <c r="E82" t="s">
        <v>1381</v>
      </c>
    </row>
    <row r="83" spans="1:5">
      <c r="A83">
        <v>44</v>
      </c>
      <c r="B83" t="s">
        <v>1400</v>
      </c>
      <c r="C83" s="532">
        <v>33.36</v>
      </c>
      <c r="E83" t="s">
        <v>1381</v>
      </c>
    </row>
    <row r="84" spans="1:5">
      <c r="A84">
        <v>44</v>
      </c>
      <c r="B84" t="s">
        <v>1399</v>
      </c>
      <c r="C84" s="532">
        <v>6.32</v>
      </c>
      <c r="E84" t="s">
        <v>1381</v>
      </c>
    </row>
    <row r="85" spans="1:5">
      <c r="A85">
        <v>44</v>
      </c>
      <c r="B85" t="s">
        <v>1463</v>
      </c>
      <c r="C85" s="532">
        <v>1.7000000000000001E-2</v>
      </c>
      <c r="E85" t="s">
        <v>1381</v>
      </c>
    </row>
    <row r="86" spans="1:5">
      <c r="A86">
        <v>44</v>
      </c>
      <c r="B86" t="s">
        <v>1464</v>
      </c>
      <c r="E86" t="s">
        <v>1381</v>
      </c>
    </row>
    <row r="87" spans="1:5">
      <c r="A87">
        <v>44</v>
      </c>
      <c r="B87" t="s">
        <v>1465</v>
      </c>
      <c r="C87" s="532">
        <v>4.8999999999999998E-3</v>
      </c>
      <c r="E87" t="s">
        <v>1381</v>
      </c>
    </row>
    <row r="88" spans="1:5">
      <c r="A88">
        <v>44</v>
      </c>
      <c r="B88" t="s">
        <v>1466</v>
      </c>
      <c r="C88" s="532">
        <v>6.3E-3</v>
      </c>
      <c r="E88" t="s">
        <v>1381</v>
      </c>
    </row>
    <row r="89" spans="1:5">
      <c r="A89">
        <v>44</v>
      </c>
      <c r="B89" t="s">
        <v>1467</v>
      </c>
      <c r="C89" s="532">
        <v>493887303.60000002</v>
      </c>
      <c r="E89" t="s">
        <v>1381</v>
      </c>
    </row>
    <row r="90" spans="1:5">
      <c r="A90">
        <v>44</v>
      </c>
      <c r="B90" t="s">
        <v>1468</v>
      </c>
      <c r="C90" s="532">
        <v>370053757.36000001</v>
      </c>
      <c r="E90" t="s">
        <v>1381</v>
      </c>
    </row>
    <row r="91" spans="1:5">
      <c r="A91">
        <v>44</v>
      </c>
      <c r="B91" t="s">
        <v>1469</v>
      </c>
      <c r="C91" s="532">
        <v>27883064</v>
      </c>
      <c r="E91" t="s">
        <v>1381</v>
      </c>
    </row>
    <row r="92" spans="1:5">
      <c r="A92">
        <v>44</v>
      </c>
      <c r="B92" t="s">
        <v>1470</v>
      </c>
      <c r="C92" s="532">
        <v>29556047.84</v>
      </c>
      <c r="E92" t="s">
        <v>1381</v>
      </c>
    </row>
    <row r="93" spans="1:5">
      <c r="A93">
        <v>44</v>
      </c>
      <c r="B93" t="s">
        <v>1471</v>
      </c>
      <c r="C93" s="532">
        <v>28998386.559999999</v>
      </c>
      <c r="E93" t="s">
        <v>1381</v>
      </c>
    </row>
    <row r="94" spans="1:5">
      <c r="A94">
        <v>44</v>
      </c>
      <c r="B94" t="s">
        <v>1472</v>
      </c>
      <c r="C94" s="532">
        <v>29556047.84</v>
      </c>
      <c r="E94" t="s">
        <v>1381</v>
      </c>
    </row>
    <row r="95" spans="1:5">
      <c r="A95">
        <v>44</v>
      </c>
      <c r="B95" t="s">
        <v>1473</v>
      </c>
      <c r="C95" s="532">
        <v>7840000</v>
      </c>
      <c r="E95" t="s">
        <v>1381</v>
      </c>
    </row>
    <row r="96" spans="1:5">
      <c r="A96">
        <v>44</v>
      </c>
      <c r="B96" t="s">
        <v>228</v>
      </c>
      <c r="C96" s="532">
        <v>0</v>
      </c>
      <c r="E96" t="s">
        <v>1381</v>
      </c>
    </row>
    <row r="97" spans="1:5">
      <c r="A97">
        <v>44</v>
      </c>
      <c r="B97" t="s">
        <v>1474</v>
      </c>
      <c r="C97" s="532">
        <v>16339330.24</v>
      </c>
      <c r="E97" t="s">
        <v>1381</v>
      </c>
    </row>
    <row r="98" spans="1:5">
      <c r="A98">
        <v>44</v>
      </c>
      <c r="B98" t="s">
        <v>1475</v>
      </c>
      <c r="C98" s="532">
        <v>16339330.24</v>
      </c>
      <c r="E98" t="s">
        <v>1381</v>
      </c>
    </row>
    <row r="99" spans="1:5">
      <c r="A99">
        <v>44</v>
      </c>
      <c r="B99" t="s">
        <v>1476</v>
      </c>
      <c r="C99" s="532">
        <v>16339330.24</v>
      </c>
      <c r="E99" t="s">
        <v>1381</v>
      </c>
    </row>
    <row r="100" spans="1:5">
      <c r="A100">
        <v>44</v>
      </c>
      <c r="B100" t="s">
        <v>1477</v>
      </c>
      <c r="C100" s="532">
        <v>0</v>
      </c>
      <c r="E100" t="s">
        <v>1381</v>
      </c>
    </row>
    <row r="101" spans="1:5">
      <c r="A101">
        <v>44</v>
      </c>
      <c r="B101" t="s">
        <v>1478</v>
      </c>
      <c r="C101" s="532">
        <v>0</v>
      </c>
      <c r="E101" t="s">
        <v>1381</v>
      </c>
    </row>
    <row r="102" spans="1:5">
      <c r="A102">
        <v>44</v>
      </c>
      <c r="B102" t="s">
        <v>1479</v>
      </c>
      <c r="C102" s="532">
        <v>0</v>
      </c>
      <c r="E102" t="s">
        <v>1381</v>
      </c>
    </row>
    <row r="103" spans="1:5">
      <c r="A103">
        <v>44</v>
      </c>
      <c r="B103" t="s">
        <v>1480</v>
      </c>
      <c r="C103" s="532">
        <v>0</v>
      </c>
      <c r="E103" t="s">
        <v>1381</v>
      </c>
    </row>
    <row r="104" spans="1:5">
      <c r="A104">
        <v>44</v>
      </c>
      <c r="B104" t="s">
        <v>1481</v>
      </c>
      <c r="C104" s="532">
        <v>0</v>
      </c>
      <c r="E104" t="s">
        <v>1381</v>
      </c>
    </row>
    <row r="105" spans="1:5">
      <c r="A105">
        <v>44</v>
      </c>
      <c r="B105" t="s">
        <v>1482</v>
      </c>
      <c r="C105" s="532">
        <v>31</v>
      </c>
      <c r="E105" t="s">
        <v>1381</v>
      </c>
    </row>
    <row r="106" spans="1:5">
      <c r="A106">
        <v>44</v>
      </c>
      <c r="B106" t="s">
        <v>1483</v>
      </c>
      <c r="C106" s="532">
        <v>841238.96</v>
      </c>
      <c r="E106" t="s">
        <v>1381</v>
      </c>
    </row>
    <row r="107" spans="1:5">
      <c r="A107">
        <v>44</v>
      </c>
      <c r="B107" t="s">
        <v>1484</v>
      </c>
      <c r="C107" s="532">
        <v>83316</v>
      </c>
      <c r="E107" t="s">
        <v>1381</v>
      </c>
    </row>
    <row r="108" spans="1:5">
      <c r="A108">
        <v>44</v>
      </c>
      <c r="B108" t="s">
        <v>1485</v>
      </c>
      <c r="C108" s="532">
        <v>117583.67999999999</v>
      </c>
      <c r="E108" t="s">
        <v>1381</v>
      </c>
    </row>
    <row r="109" spans="1:5">
      <c r="A109">
        <v>44</v>
      </c>
      <c r="B109" t="s">
        <v>1486</v>
      </c>
      <c r="C109" s="532">
        <v>151573.76000000001</v>
      </c>
      <c r="E109" t="s">
        <v>1381</v>
      </c>
    </row>
    <row r="110" spans="1:5">
      <c r="A110">
        <v>44</v>
      </c>
      <c r="B110" t="s">
        <v>1487</v>
      </c>
      <c r="C110" s="532">
        <v>220662.32</v>
      </c>
      <c r="E110" t="s">
        <v>1381</v>
      </c>
    </row>
    <row r="111" spans="1:5">
      <c r="A111">
        <v>44</v>
      </c>
      <c r="B111" t="s">
        <v>1488</v>
      </c>
      <c r="C111" s="532">
        <v>72033.919999999998</v>
      </c>
      <c r="E111" t="s">
        <v>1381</v>
      </c>
    </row>
    <row r="112" spans="1:5">
      <c r="A112">
        <v>44</v>
      </c>
      <c r="B112" t="s">
        <v>1489</v>
      </c>
      <c r="C112" s="532">
        <v>1.9199999999999998E-2</v>
      </c>
      <c r="E112" t="s">
        <v>1381</v>
      </c>
    </row>
    <row r="113" spans="1:5">
      <c r="A113">
        <v>44</v>
      </c>
      <c r="B113" t="s">
        <v>1490</v>
      </c>
      <c r="C113" s="532">
        <v>11760000</v>
      </c>
      <c r="E113" t="s">
        <v>1381</v>
      </c>
    </row>
    <row r="114" spans="1:5">
      <c r="A114">
        <v>44</v>
      </c>
      <c r="B114" t="s">
        <v>1491</v>
      </c>
      <c r="C114" s="532">
        <v>3068945.66</v>
      </c>
      <c r="E114" t="s">
        <v>1381</v>
      </c>
    </row>
    <row r="115" spans="1:5">
      <c r="A115">
        <v>44</v>
      </c>
      <c r="B115" t="s">
        <v>1492</v>
      </c>
      <c r="C115" s="532">
        <v>0</v>
      </c>
      <c r="E115" t="s">
        <v>1381</v>
      </c>
    </row>
    <row r="116" spans="1:5">
      <c r="A116">
        <v>44</v>
      </c>
      <c r="B116" t="s">
        <v>1493</v>
      </c>
      <c r="C116" s="532">
        <v>50973.52</v>
      </c>
      <c r="E116" t="s">
        <v>1381</v>
      </c>
    </row>
    <row r="117" spans="1:5">
      <c r="A117">
        <v>44</v>
      </c>
      <c r="B117" t="s">
        <v>1494</v>
      </c>
      <c r="C117" s="532">
        <v>0</v>
      </c>
      <c r="E117" t="s">
        <v>1381</v>
      </c>
    </row>
    <row r="118" spans="1:5">
      <c r="A118">
        <v>44</v>
      </c>
      <c r="B118" t="s">
        <v>1495</v>
      </c>
      <c r="C118" s="532">
        <v>0</v>
      </c>
      <c r="E118" t="s">
        <v>1381</v>
      </c>
    </row>
    <row r="119" spans="1:5">
      <c r="A119">
        <v>44</v>
      </c>
      <c r="B119" t="s">
        <v>1496</v>
      </c>
      <c r="C119" s="532">
        <v>5118197.6100000003</v>
      </c>
      <c r="E119" t="s">
        <v>1381</v>
      </c>
    </row>
    <row r="120" spans="1:5">
      <c r="A120">
        <v>44</v>
      </c>
      <c r="B120" t="s">
        <v>1497</v>
      </c>
      <c r="C120" s="532">
        <v>0</v>
      </c>
      <c r="E120" t="s">
        <v>1381</v>
      </c>
    </row>
    <row r="121" spans="1:5">
      <c r="A121">
        <v>44</v>
      </c>
      <c r="B121" t="s">
        <v>1498</v>
      </c>
      <c r="C121" s="532">
        <v>0</v>
      </c>
      <c r="E121" t="s">
        <v>1381</v>
      </c>
    </row>
    <row r="122" spans="1:5">
      <c r="A122">
        <v>44</v>
      </c>
      <c r="B122" t="s">
        <v>1499</v>
      </c>
      <c r="C122" s="532">
        <v>0</v>
      </c>
      <c r="E122" t="s">
        <v>1381</v>
      </c>
    </row>
    <row r="123" spans="1:5">
      <c r="A123">
        <v>44</v>
      </c>
      <c r="B123" t="s">
        <v>1500</v>
      </c>
      <c r="C123" s="532">
        <v>0</v>
      </c>
      <c r="E123" t="s">
        <v>1381</v>
      </c>
    </row>
    <row r="124" spans="1:5">
      <c r="A124">
        <v>44</v>
      </c>
      <c r="B124" t="s">
        <v>1501</v>
      </c>
      <c r="C124" s="532">
        <v>8238116.79</v>
      </c>
      <c r="E124" t="s">
        <v>1381</v>
      </c>
    </row>
    <row r="125" spans="1:5">
      <c r="A125">
        <v>44</v>
      </c>
      <c r="B125" t="s">
        <v>1501</v>
      </c>
      <c r="C125" s="532">
        <v>8238116.79</v>
      </c>
      <c r="E125" t="s">
        <v>1381</v>
      </c>
    </row>
    <row r="126" spans="1:5">
      <c r="A126">
        <v>44</v>
      </c>
      <c r="B126" t="s">
        <v>1502</v>
      </c>
      <c r="C126" s="532">
        <v>181.82</v>
      </c>
      <c r="E126" t="s">
        <v>1381</v>
      </c>
    </row>
    <row r="127" spans="1:5">
      <c r="A127">
        <v>44</v>
      </c>
      <c r="B127" t="s">
        <v>1503</v>
      </c>
      <c r="C127" s="532">
        <v>0</v>
      </c>
      <c r="E127" t="s">
        <v>1381</v>
      </c>
    </row>
    <row r="128" spans="1:5">
      <c r="A128">
        <v>44</v>
      </c>
      <c r="B128" t="s">
        <v>1504</v>
      </c>
      <c r="C128" s="532">
        <v>540120.64</v>
      </c>
      <c r="E128" t="s">
        <v>1381</v>
      </c>
    </row>
    <row r="129" spans="1:5">
      <c r="A129">
        <v>44</v>
      </c>
      <c r="B129" t="s">
        <v>1505</v>
      </c>
      <c r="C129" s="532">
        <v>841238.96</v>
      </c>
      <c r="E129" t="s">
        <v>1381</v>
      </c>
    </row>
    <row r="130" spans="1:5">
      <c r="A130">
        <v>44</v>
      </c>
      <c r="B130" t="s">
        <v>1506</v>
      </c>
      <c r="C130" s="532">
        <v>83316</v>
      </c>
      <c r="E130" t="s">
        <v>1381</v>
      </c>
    </row>
    <row r="131" spans="1:5">
      <c r="A131">
        <v>44</v>
      </c>
      <c r="B131" t="s">
        <v>1507</v>
      </c>
      <c r="C131" s="532">
        <v>117583.67999999999</v>
      </c>
      <c r="E131" t="s">
        <v>1381</v>
      </c>
    </row>
    <row r="132" spans="1:5">
      <c r="A132">
        <v>44</v>
      </c>
      <c r="B132" t="s">
        <v>1508</v>
      </c>
      <c r="C132" s="532">
        <v>151573.76000000001</v>
      </c>
      <c r="E132" t="s">
        <v>1381</v>
      </c>
    </row>
    <row r="133" spans="1:5">
      <c r="A133">
        <v>44</v>
      </c>
      <c r="B133" t="s">
        <v>1509</v>
      </c>
      <c r="C133" s="532">
        <v>220662.32</v>
      </c>
      <c r="E133" t="s">
        <v>1381</v>
      </c>
    </row>
    <row r="134" spans="1:5">
      <c r="A134">
        <v>44</v>
      </c>
      <c r="B134" t="s">
        <v>1510</v>
      </c>
      <c r="C134" s="532">
        <v>72033.919999999998</v>
      </c>
      <c r="E134" t="s">
        <v>1381</v>
      </c>
    </row>
    <row r="135" spans="1:5">
      <c r="A135">
        <v>44</v>
      </c>
      <c r="B135" t="s">
        <v>1511</v>
      </c>
      <c r="C135" s="532">
        <v>4938873.04</v>
      </c>
      <c r="E135" t="s">
        <v>1381</v>
      </c>
    </row>
    <row r="136" spans="1:5">
      <c r="A136">
        <v>44</v>
      </c>
      <c r="B136" t="s">
        <v>1512</v>
      </c>
      <c r="C136" s="532">
        <v>1272532.6499999999</v>
      </c>
      <c r="E136" t="s">
        <v>1381</v>
      </c>
    </row>
    <row r="137" spans="1:5">
      <c r="A137">
        <v>44</v>
      </c>
      <c r="B137" t="s">
        <v>1513</v>
      </c>
      <c r="C137" s="532">
        <v>0</v>
      </c>
      <c r="E137" t="s">
        <v>1381</v>
      </c>
    </row>
    <row r="138" spans="1:5">
      <c r="A138">
        <v>44</v>
      </c>
      <c r="B138" t="s">
        <v>1514</v>
      </c>
      <c r="C138" s="532">
        <v>0</v>
      </c>
      <c r="E138" t="s">
        <v>1381</v>
      </c>
    </row>
    <row r="139" spans="1:5">
      <c r="A139">
        <v>44</v>
      </c>
      <c r="B139" t="s">
        <v>1515</v>
      </c>
      <c r="C139" s="532">
        <v>0</v>
      </c>
      <c r="E139" t="s">
        <v>1381</v>
      </c>
    </row>
    <row r="140" spans="1:5">
      <c r="A140">
        <v>44</v>
      </c>
      <c r="B140" t="s">
        <v>1516</v>
      </c>
      <c r="C140" s="532">
        <v>0</v>
      </c>
      <c r="E140" t="s">
        <v>1381</v>
      </c>
    </row>
    <row r="141" spans="1:5">
      <c r="A141">
        <v>44</v>
      </c>
      <c r="B141" t="s">
        <v>1517</v>
      </c>
      <c r="C141" s="532">
        <v>0</v>
      </c>
      <c r="E141" t="s">
        <v>1381</v>
      </c>
    </row>
    <row r="142" spans="1:5">
      <c r="A142">
        <v>44</v>
      </c>
      <c r="B142" t="s">
        <v>1518</v>
      </c>
      <c r="C142" s="532">
        <v>0</v>
      </c>
      <c r="E142" t="s">
        <v>1381</v>
      </c>
    </row>
    <row r="143" spans="1:5">
      <c r="A143">
        <v>44</v>
      </c>
      <c r="B143" t="s">
        <v>1519</v>
      </c>
      <c r="C143" s="532">
        <v>0</v>
      </c>
      <c r="E143" t="s">
        <v>1381</v>
      </c>
    </row>
    <row r="144" spans="1:5">
      <c r="A144">
        <v>44</v>
      </c>
      <c r="B144" t="s">
        <v>1520</v>
      </c>
      <c r="C144" s="532">
        <v>0</v>
      </c>
      <c r="E144" t="s">
        <v>1381</v>
      </c>
    </row>
    <row r="145" spans="1:5">
      <c r="A145">
        <v>44</v>
      </c>
      <c r="B145" t="s">
        <v>1521</v>
      </c>
      <c r="C145" s="532">
        <v>0</v>
      </c>
      <c r="E145" t="s">
        <v>1381</v>
      </c>
    </row>
    <row r="146" spans="1:5">
      <c r="A146">
        <v>44</v>
      </c>
      <c r="B146" t="s">
        <v>1522</v>
      </c>
      <c r="C146" s="532">
        <v>0</v>
      </c>
      <c r="E146" t="s">
        <v>1381</v>
      </c>
    </row>
    <row r="147" spans="1:5">
      <c r="A147">
        <v>44</v>
      </c>
      <c r="B147" t="s">
        <v>1523</v>
      </c>
      <c r="C147" s="532">
        <v>0</v>
      </c>
      <c r="E147" t="s">
        <v>1381</v>
      </c>
    </row>
    <row r="148" spans="1:5">
      <c r="A148">
        <v>44</v>
      </c>
      <c r="B148" t="s">
        <v>1524</v>
      </c>
      <c r="C148" s="532">
        <v>0</v>
      </c>
      <c r="E148" t="s">
        <v>1381</v>
      </c>
    </row>
    <row r="149" spans="1:5">
      <c r="A149">
        <v>44</v>
      </c>
      <c r="B149" t="s">
        <v>1525</v>
      </c>
      <c r="C149" s="532">
        <v>15066770.550000001</v>
      </c>
      <c r="E149" t="s">
        <v>1381</v>
      </c>
    </row>
    <row r="150" spans="1:5">
      <c r="A150">
        <v>44</v>
      </c>
      <c r="B150" t="s">
        <v>1526</v>
      </c>
      <c r="C150" s="532">
        <v>0</v>
      </c>
      <c r="E150" t="s">
        <v>1381</v>
      </c>
    </row>
    <row r="151" spans="1:5">
      <c r="A151">
        <v>44</v>
      </c>
      <c r="B151" t="s">
        <v>1527</v>
      </c>
      <c r="C151" s="532">
        <v>0</v>
      </c>
      <c r="E151" t="s">
        <v>1381</v>
      </c>
    </row>
    <row r="152" spans="1:5">
      <c r="A152">
        <v>44</v>
      </c>
      <c r="B152" t="s">
        <v>1528</v>
      </c>
      <c r="C152" s="532">
        <v>0</v>
      </c>
      <c r="E152" t="s">
        <v>1381</v>
      </c>
    </row>
    <row r="153" spans="1:5">
      <c r="A153">
        <v>44</v>
      </c>
      <c r="B153" t="s">
        <v>1529</v>
      </c>
      <c r="C153" s="532">
        <v>0</v>
      </c>
      <c r="E153" t="s">
        <v>1381</v>
      </c>
    </row>
    <row r="154" spans="1:5">
      <c r="A154">
        <v>44</v>
      </c>
      <c r="B154" t="s">
        <v>1530</v>
      </c>
      <c r="C154" s="532">
        <v>33.36</v>
      </c>
      <c r="E154" t="s">
        <v>1381</v>
      </c>
    </row>
    <row r="155" spans="1:5">
      <c r="A155">
        <v>44</v>
      </c>
      <c r="B155" t="s">
        <v>1531</v>
      </c>
      <c r="C155" s="532">
        <v>0</v>
      </c>
      <c r="E155" t="s">
        <v>1381</v>
      </c>
    </row>
    <row r="156" spans="1:5">
      <c r="A156">
        <v>44</v>
      </c>
      <c r="B156" t="s">
        <v>1532</v>
      </c>
      <c r="C156" s="532">
        <v>1272532.6499999999</v>
      </c>
      <c r="E156" t="s">
        <v>1381</v>
      </c>
    </row>
    <row r="157" spans="1:5">
      <c r="A157">
        <v>44</v>
      </c>
      <c r="B157" t="s">
        <v>1533</v>
      </c>
      <c r="C157" s="532">
        <v>0</v>
      </c>
      <c r="E157" t="s">
        <v>1381</v>
      </c>
    </row>
    <row r="158" spans="1:5">
      <c r="A158">
        <v>44</v>
      </c>
      <c r="B158" t="s">
        <v>1534</v>
      </c>
      <c r="C158" s="532">
        <v>16339336.560000001</v>
      </c>
      <c r="E158" t="s">
        <v>1381</v>
      </c>
    </row>
    <row r="159" spans="1:5">
      <c r="A159">
        <v>44</v>
      </c>
      <c r="B159" t="s">
        <v>1534</v>
      </c>
      <c r="C159" s="532">
        <v>16339336.560000001</v>
      </c>
      <c r="E159" t="s">
        <v>1381</v>
      </c>
    </row>
    <row r="160" spans="1:5">
      <c r="A160">
        <v>44</v>
      </c>
      <c r="B160" t="s">
        <v>1535</v>
      </c>
      <c r="C160" s="532">
        <v>0</v>
      </c>
      <c r="E160" t="s">
        <v>1381</v>
      </c>
    </row>
    <row r="161" spans="1:5">
      <c r="A161">
        <v>44</v>
      </c>
      <c r="B161" t="s">
        <v>1536</v>
      </c>
      <c r="C161" s="532">
        <v>16339336.560000001</v>
      </c>
      <c r="E161" t="s">
        <v>1381</v>
      </c>
    </row>
    <row r="162" spans="1:5">
      <c r="A162">
        <v>44</v>
      </c>
      <c r="B162" t="s">
        <v>228</v>
      </c>
      <c r="C162" s="532">
        <v>0</v>
      </c>
      <c r="E162" t="s">
        <v>1381</v>
      </c>
    </row>
    <row r="163" spans="1:5">
      <c r="A163">
        <v>44</v>
      </c>
      <c r="B163" t="s">
        <v>1537</v>
      </c>
      <c r="C163" s="532">
        <v>0</v>
      </c>
      <c r="E163" t="s">
        <v>1381</v>
      </c>
    </row>
    <row r="164" spans="1:5">
      <c r="A164">
        <v>44</v>
      </c>
      <c r="B164" t="s">
        <v>1538</v>
      </c>
      <c r="C164" s="532">
        <v>0</v>
      </c>
      <c r="E164" t="s">
        <v>1381</v>
      </c>
    </row>
    <row r="165" spans="1:5">
      <c r="A165">
        <v>44</v>
      </c>
      <c r="B165" t="s">
        <v>1539</v>
      </c>
      <c r="C165" s="532">
        <v>0</v>
      </c>
      <c r="E165" t="s">
        <v>1381</v>
      </c>
    </row>
    <row r="166" spans="1:5">
      <c r="A166">
        <v>44</v>
      </c>
      <c r="B166" t="s">
        <v>1540</v>
      </c>
      <c r="C166" s="532">
        <v>0</v>
      </c>
      <c r="E166" t="s">
        <v>1381</v>
      </c>
    </row>
    <row r="167" spans="1:5">
      <c r="A167">
        <v>44</v>
      </c>
      <c r="B167" t="s">
        <v>1541</v>
      </c>
      <c r="C167" s="532">
        <v>0</v>
      </c>
      <c r="E167" t="s">
        <v>1381</v>
      </c>
    </row>
    <row r="168" spans="1:5">
      <c r="A168">
        <v>44</v>
      </c>
      <c r="B168" t="s">
        <v>1542</v>
      </c>
      <c r="C168" s="532">
        <v>0</v>
      </c>
      <c r="E168" t="s">
        <v>1381</v>
      </c>
    </row>
    <row r="169" spans="1:5">
      <c r="A169">
        <v>44</v>
      </c>
      <c r="B169" t="s">
        <v>1543</v>
      </c>
      <c r="C169" s="532">
        <v>16339330.24</v>
      </c>
      <c r="E169" t="s">
        <v>1381</v>
      </c>
    </row>
    <row r="170" spans="1:5">
      <c r="A170">
        <v>44</v>
      </c>
      <c r="B170" t="s">
        <v>1544</v>
      </c>
      <c r="C170" s="532">
        <v>0</v>
      </c>
      <c r="E170" t="s">
        <v>1381</v>
      </c>
    </row>
    <row r="171" spans="1:5">
      <c r="A171">
        <v>44</v>
      </c>
      <c r="B171" t="s">
        <v>1545</v>
      </c>
      <c r="C171" s="532">
        <v>0</v>
      </c>
      <c r="E171" t="s">
        <v>1381</v>
      </c>
    </row>
    <row r="172" spans="1:5">
      <c r="A172">
        <v>44</v>
      </c>
      <c r="B172" t="s">
        <v>1546</v>
      </c>
      <c r="C172" s="532">
        <v>0</v>
      </c>
      <c r="E172" t="s">
        <v>1381</v>
      </c>
    </row>
    <row r="173" spans="1:5">
      <c r="A173">
        <v>44</v>
      </c>
      <c r="B173" t="s">
        <v>1547</v>
      </c>
      <c r="C173" s="532">
        <v>0</v>
      </c>
      <c r="E173" t="s">
        <v>1381</v>
      </c>
    </row>
    <row r="174" spans="1:5">
      <c r="A174">
        <v>44</v>
      </c>
      <c r="B174" t="s">
        <v>1548</v>
      </c>
      <c r="C174" s="532">
        <v>0</v>
      </c>
      <c r="E174" t="s">
        <v>1381</v>
      </c>
    </row>
    <row r="175" spans="1:5">
      <c r="A175">
        <v>44</v>
      </c>
      <c r="B175" t="s">
        <v>1549</v>
      </c>
      <c r="C175" s="532">
        <v>0</v>
      </c>
      <c r="E175" t="s">
        <v>1381</v>
      </c>
    </row>
    <row r="176" spans="1:5">
      <c r="A176">
        <v>44</v>
      </c>
      <c r="B176" t="s">
        <v>1550</v>
      </c>
      <c r="C176" s="532">
        <v>0</v>
      </c>
      <c r="E176" t="s">
        <v>1381</v>
      </c>
    </row>
    <row r="177" spans="1:5">
      <c r="A177">
        <v>44</v>
      </c>
      <c r="B177" t="s">
        <v>1551</v>
      </c>
      <c r="C177" s="532">
        <v>0</v>
      </c>
      <c r="E177" t="s">
        <v>1381</v>
      </c>
    </row>
    <row r="178" spans="1:5">
      <c r="A178">
        <v>44</v>
      </c>
      <c r="B178" t="s">
        <v>1552</v>
      </c>
      <c r="C178" s="532">
        <v>0</v>
      </c>
      <c r="E178" t="s">
        <v>1381</v>
      </c>
    </row>
    <row r="179" spans="1:5">
      <c r="A179">
        <v>44</v>
      </c>
      <c r="B179" t="s">
        <v>1553</v>
      </c>
      <c r="C179" s="532">
        <v>6.32</v>
      </c>
      <c r="E179" t="s">
        <v>1381</v>
      </c>
    </row>
    <row r="180" spans="1:5">
      <c r="A180">
        <v>44</v>
      </c>
      <c r="B180" t="s">
        <v>1554</v>
      </c>
      <c r="C180" s="532">
        <v>0</v>
      </c>
      <c r="E180" t="s">
        <v>1381</v>
      </c>
    </row>
    <row r="181" spans="1:5">
      <c r="A181">
        <v>44</v>
      </c>
      <c r="B181" t="s">
        <v>1502</v>
      </c>
      <c r="C181" s="532">
        <v>181.82</v>
      </c>
      <c r="E181" t="s">
        <v>1381</v>
      </c>
    </row>
    <row r="182" spans="1:5">
      <c r="A182">
        <v>44</v>
      </c>
      <c r="B182" t="s">
        <v>1555</v>
      </c>
      <c r="C182" s="532">
        <v>1496488.81</v>
      </c>
      <c r="E182" t="s">
        <v>1381</v>
      </c>
    </row>
    <row r="183" spans="1:5">
      <c r="A183">
        <v>44</v>
      </c>
      <c r="B183" t="s">
        <v>1556</v>
      </c>
      <c r="C183" s="532">
        <v>841238.96</v>
      </c>
      <c r="E183" t="s">
        <v>1381</v>
      </c>
    </row>
    <row r="184" spans="1:5">
      <c r="A184">
        <v>44</v>
      </c>
      <c r="B184" t="s">
        <v>1557</v>
      </c>
      <c r="C184" s="532">
        <v>83316</v>
      </c>
      <c r="E184" t="s">
        <v>1381</v>
      </c>
    </row>
    <row r="185" spans="1:5">
      <c r="A185">
        <v>44</v>
      </c>
      <c r="B185" t="s">
        <v>1558</v>
      </c>
      <c r="C185" s="532">
        <v>117583.67999999999</v>
      </c>
      <c r="E185" t="s">
        <v>1381</v>
      </c>
    </row>
    <row r="186" spans="1:5">
      <c r="A186">
        <v>44</v>
      </c>
      <c r="B186" t="s">
        <v>1559</v>
      </c>
      <c r="C186" s="532">
        <v>151573.76000000001</v>
      </c>
      <c r="E186" t="s">
        <v>1381</v>
      </c>
    </row>
    <row r="187" spans="1:5">
      <c r="A187">
        <v>44</v>
      </c>
      <c r="B187" t="s">
        <v>1560</v>
      </c>
      <c r="C187" s="532">
        <v>220662.32</v>
      </c>
      <c r="E187" t="s">
        <v>1381</v>
      </c>
    </row>
    <row r="188" spans="1:5">
      <c r="A188">
        <v>44</v>
      </c>
      <c r="B188" t="s">
        <v>1561</v>
      </c>
      <c r="C188" s="532">
        <v>72033.919999999998</v>
      </c>
      <c r="E188" t="s">
        <v>1381</v>
      </c>
    </row>
    <row r="189" spans="1:5">
      <c r="A189">
        <v>44</v>
      </c>
      <c r="B189" t="s">
        <v>1562</v>
      </c>
      <c r="C189" s="532">
        <v>10080.17</v>
      </c>
      <c r="E189" t="s">
        <v>1381</v>
      </c>
    </row>
    <row r="190" spans="1:5">
      <c r="A190">
        <v>44</v>
      </c>
      <c r="B190" t="s">
        <v>1563</v>
      </c>
      <c r="C190" s="532">
        <v>73658660.989999995</v>
      </c>
      <c r="E190" t="s">
        <v>1381</v>
      </c>
    </row>
    <row r="191" spans="1:5">
      <c r="A191">
        <v>44</v>
      </c>
      <c r="B191" t="s">
        <v>1564</v>
      </c>
      <c r="C191" s="532">
        <v>47624020.640000001</v>
      </c>
      <c r="E191" t="s">
        <v>1381</v>
      </c>
    </row>
    <row r="192" spans="1:5">
      <c r="A192">
        <v>44</v>
      </c>
      <c r="B192" t="s">
        <v>1565</v>
      </c>
      <c r="C192" s="532">
        <v>3831492</v>
      </c>
      <c r="E192" t="s">
        <v>1381</v>
      </c>
    </row>
    <row r="193" spans="1:5">
      <c r="A193">
        <v>44</v>
      </c>
      <c r="B193" t="s">
        <v>1566</v>
      </c>
      <c r="C193" s="532">
        <v>5045968.88</v>
      </c>
      <c r="E193" t="s">
        <v>1381</v>
      </c>
    </row>
    <row r="194" spans="1:5">
      <c r="A194">
        <v>44</v>
      </c>
      <c r="B194" t="s">
        <v>1567</v>
      </c>
      <c r="C194" s="532">
        <v>6168772.4800000004</v>
      </c>
      <c r="E194" t="s">
        <v>1381</v>
      </c>
    </row>
    <row r="195" spans="1:5">
      <c r="A195">
        <v>44</v>
      </c>
      <c r="B195" t="s">
        <v>1568</v>
      </c>
      <c r="C195" s="532">
        <v>8513415.4399999995</v>
      </c>
      <c r="E195" t="s">
        <v>1381</v>
      </c>
    </row>
    <row r="196" spans="1:5">
      <c r="A196">
        <v>44</v>
      </c>
      <c r="B196" t="s">
        <v>1569</v>
      </c>
      <c r="C196" s="532">
        <v>2210499.2000000002</v>
      </c>
      <c r="E196" t="s">
        <v>1381</v>
      </c>
    </row>
    <row r="197" spans="1:5">
      <c r="A197">
        <v>44</v>
      </c>
      <c r="B197" t="s">
        <v>1570</v>
      </c>
      <c r="C197" s="532">
        <v>264492.34999999998</v>
      </c>
      <c r="E197" t="s">
        <v>1381</v>
      </c>
    </row>
    <row r="198" spans="1:5">
      <c r="A198">
        <v>44</v>
      </c>
      <c r="B198" t="s">
        <v>1571</v>
      </c>
      <c r="C198" s="532">
        <v>1486408.64</v>
      </c>
      <c r="E198" t="s">
        <v>1381</v>
      </c>
    </row>
    <row r="199" spans="1:5">
      <c r="A199">
        <v>44</v>
      </c>
      <c r="B199" t="s">
        <v>1572</v>
      </c>
      <c r="C199" s="532">
        <v>841238.96</v>
      </c>
      <c r="E199" t="s">
        <v>1381</v>
      </c>
    </row>
    <row r="200" spans="1:5">
      <c r="A200">
        <v>44</v>
      </c>
      <c r="B200" t="s">
        <v>1573</v>
      </c>
      <c r="C200" s="532">
        <v>83316</v>
      </c>
      <c r="E200" t="s">
        <v>1381</v>
      </c>
    </row>
    <row r="201" spans="1:5">
      <c r="A201">
        <v>44</v>
      </c>
      <c r="B201" t="s">
        <v>1574</v>
      </c>
      <c r="C201" s="532">
        <v>117583.67999999999</v>
      </c>
      <c r="E201" t="s">
        <v>1381</v>
      </c>
    </row>
    <row r="202" spans="1:5">
      <c r="A202">
        <v>44</v>
      </c>
      <c r="B202" t="s">
        <v>1575</v>
      </c>
      <c r="C202" s="532">
        <v>151573.76000000001</v>
      </c>
      <c r="E202" t="s">
        <v>1381</v>
      </c>
    </row>
    <row r="203" spans="1:5">
      <c r="A203">
        <v>44</v>
      </c>
      <c r="B203" t="s">
        <v>1576</v>
      </c>
      <c r="C203" s="532">
        <v>220662.32</v>
      </c>
      <c r="E203" t="s">
        <v>1381</v>
      </c>
    </row>
    <row r="204" spans="1:5">
      <c r="A204">
        <v>44</v>
      </c>
      <c r="B204" t="s">
        <v>1577</v>
      </c>
      <c r="C204" s="532">
        <v>72033.919999999998</v>
      </c>
      <c r="E204" t="s">
        <v>1381</v>
      </c>
    </row>
    <row r="205" spans="1:5">
      <c r="A205">
        <v>44</v>
      </c>
      <c r="B205" t="s">
        <v>1578</v>
      </c>
      <c r="C205" s="532">
        <v>0</v>
      </c>
      <c r="E205" t="s">
        <v>1381</v>
      </c>
    </row>
    <row r="206" spans="1:5">
      <c r="A206">
        <v>44</v>
      </c>
      <c r="B206" t="s">
        <v>1579</v>
      </c>
      <c r="C206" s="532">
        <v>73450879.480000004</v>
      </c>
      <c r="E206" t="s">
        <v>1381</v>
      </c>
    </row>
    <row r="207" spans="1:5">
      <c r="A207">
        <v>44</v>
      </c>
      <c r="B207" t="s">
        <v>1580</v>
      </c>
      <c r="C207" s="532">
        <v>47624020.640000001</v>
      </c>
      <c r="E207" t="s">
        <v>1381</v>
      </c>
    </row>
    <row r="208" spans="1:5">
      <c r="A208">
        <v>44</v>
      </c>
      <c r="B208" t="s">
        <v>1581</v>
      </c>
      <c r="C208" s="532">
        <v>3831492</v>
      </c>
      <c r="E208" t="s">
        <v>1381</v>
      </c>
    </row>
    <row r="209" spans="1:5">
      <c r="A209">
        <v>44</v>
      </c>
      <c r="B209" t="s">
        <v>1582</v>
      </c>
      <c r="C209" s="532">
        <v>5045968.88</v>
      </c>
      <c r="E209" t="s">
        <v>1381</v>
      </c>
    </row>
    <row r="210" spans="1:5">
      <c r="A210">
        <v>44</v>
      </c>
      <c r="B210" t="s">
        <v>1583</v>
      </c>
      <c r="C210" s="532">
        <v>6168772.4800000004</v>
      </c>
      <c r="E210" t="s">
        <v>1381</v>
      </c>
    </row>
    <row r="211" spans="1:5">
      <c r="A211">
        <v>44</v>
      </c>
      <c r="B211" t="s">
        <v>1584</v>
      </c>
      <c r="C211" s="532">
        <v>8513415.4399999995</v>
      </c>
      <c r="E211" t="s">
        <v>1381</v>
      </c>
    </row>
    <row r="212" spans="1:5">
      <c r="A212">
        <v>44</v>
      </c>
      <c r="B212" t="s">
        <v>1585</v>
      </c>
      <c r="C212" s="532">
        <v>2210499.2000000002</v>
      </c>
      <c r="E212" t="s">
        <v>1381</v>
      </c>
    </row>
    <row r="213" spans="1:5">
      <c r="A213">
        <v>44</v>
      </c>
      <c r="B213" t="s">
        <v>1586</v>
      </c>
      <c r="C213" s="532">
        <v>56710.84</v>
      </c>
      <c r="E213" t="s">
        <v>1381</v>
      </c>
    </row>
    <row r="214" spans="1:5">
      <c r="A214">
        <v>44</v>
      </c>
      <c r="B214" t="s">
        <v>1587</v>
      </c>
      <c r="C214" s="532">
        <v>10080.17</v>
      </c>
      <c r="E214" t="s">
        <v>1381</v>
      </c>
    </row>
    <row r="215" spans="1:5">
      <c r="A215">
        <v>44</v>
      </c>
      <c r="B215" t="s">
        <v>1588</v>
      </c>
      <c r="C215" s="532">
        <v>0</v>
      </c>
      <c r="E215" t="s">
        <v>1381</v>
      </c>
    </row>
    <row r="216" spans="1:5">
      <c r="A216">
        <v>44</v>
      </c>
      <c r="B216" t="s">
        <v>1589</v>
      </c>
      <c r="C216" s="532">
        <v>0</v>
      </c>
      <c r="E216" t="s">
        <v>1381</v>
      </c>
    </row>
    <row r="217" spans="1:5">
      <c r="A217">
        <v>44</v>
      </c>
      <c r="B217" t="s">
        <v>1590</v>
      </c>
      <c r="C217" s="532">
        <v>0</v>
      </c>
      <c r="E217" t="s">
        <v>1381</v>
      </c>
    </row>
    <row r="218" spans="1:5">
      <c r="A218">
        <v>44</v>
      </c>
      <c r="B218" t="s">
        <v>1591</v>
      </c>
      <c r="C218" s="532">
        <v>0</v>
      </c>
      <c r="E218" t="s">
        <v>1381</v>
      </c>
    </row>
    <row r="219" spans="1:5">
      <c r="A219">
        <v>44</v>
      </c>
      <c r="B219" t="s">
        <v>1592</v>
      </c>
      <c r="C219" s="532">
        <v>0</v>
      </c>
      <c r="E219" t="s">
        <v>1381</v>
      </c>
    </row>
    <row r="220" spans="1:5">
      <c r="A220">
        <v>44</v>
      </c>
      <c r="B220" t="s">
        <v>1593</v>
      </c>
      <c r="C220" s="532">
        <v>0</v>
      </c>
      <c r="E220" t="s">
        <v>1381</v>
      </c>
    </row>
    <row r="221" spans="1:5">
      <c r="A221">
        <v>44</v>
      </c>
      <c r="B221" t="s">
        <v>1594</v>
      </c>
      <c r="C221" s="532">
        <v>10080.17</v>
      </c>
      <c r="E221" t="s">
        <v>1381</v>
      </c>
    </row>
    <row r="222" spans="1:5">
      <c r="A222">
        <v>44</v>
      </c>
      <c r="B222" t="s">
        <v>1595</v>
      </c>
      <c r="C222" s="532">
        <v>207781.51</v>
      </c>
      <c r="E222" t="s">
        <v>1381</v>
      </c>
    </row>
    <row r="223" spans="1:5">
      <c r="A223">
        <v>44</v>
      </c>
      <c r="B223" t="s">
        <v>1596</v>
      </c>
      <c r="C223" s="532">
        <v>0</v>
      </c>
      <c r="E223" t="s">
        <v>1381</v>
      </c>
    </row>
    <row r="224" spans="1:5">
      <c r="A224">
        <v>44</v>
      </c>
      <c r="B224" t="s">
        <v>1597</v>
      </c>
      <c r="C224" s="532">
        <v>0</v>
      </c>
      <c r="E224" t="s">
        <v>1381</v>
      </c>
    </row>
    <row r="225" spans="1:5">
      <c r="A225">
        <v>44</v>
      </c>
      <c r="B225" t="s">
        <v>1598</v>
      </c>
      <c r="C225" s="532">
        <v>0</v>
      </c>
      <c r="E225" t="s">
        <v>1381</v>
      </c>
    </row>
    <row r="226" spans="1:5">
      <c r="A226">
        <v>44</v>
      </c>
      <c r="B226" t="s">
        <v>1599</v>
      </c>
      <c r="C226" s="532">
        <v>0</v>
      </c>
      <c r="E226" t="s">
        <v>1381</v>
      </c>
    </row>
    <row r="227" spans="1:5">
      <c r="A227">
        <v>44</v>
      </c>
      <c r="B227" t="s">
        <v>1600</v>
      </c>
      <c r="C227" s="532">
        <v>0</v>
      </c>
      <c r="E227" t="s">
        <v>1381</v>
      </c>
    </row>
    <row r="228" spans="1:5">
      <c r="A228">
        <v>44</v>
      </c>
      <c r="B228" t="s">
        <v>1601</v>
      </c>
      <c r="C228" s="532">
        <v>0</v>
      </c>
      <c r="E228" t="s">
        <v>1381</v>
      </c>
    </row>
    <row r="229" spans="1:5">
      <c r="A229">
        <v>44</v>
      </c>
      <c r="B229" t="s">
        <v>1602</v>
      </c>
      <c r="C229" s="532">
        <v>207781.51</v>
      </c>
      <c r="E229" t="s">
        <v>1381</v>
      </c>
    </row>
    <row r="230" spans="1:5">
      <c r="A230">
        <v>44</v>
      </c>
      <c r="B230" t="s">
        <v>1603</v>
      </c>
      <c r="C230" s="532">
        <v>11706000</v>
      </c>
      <c r="E230" t="s">
        <v>1381</v>
      </c>
    </row>
    <row r="231" spans="1:5">
      <c r="A231">
        <v>44</v>
      </c>
      <c r="B231" t="s">
        <v>1604</v>
      </c>
      <c r="C231" s="532">
        <v>493887303.60000002</v>
      </c>
      <c r="E231" t="s">
        <v>1381</v>
      </c>
    </row>
    <row r="232" spans="1:5">
      <c r="A232">
        <v>44</v>
      </c>
      <c r="B232" t="s">
        <v>1605</v>
      </c>
      <c r="C232" s="532">
        <v>3.1899999999999998E-2</v>
      </c>
      <c r="E232" t="s">
        <v>1381</v>
      </c>
    </row>
    <row r="233" spans="1:5">
      <c r="A233">
        <v>44</v>
      </c>
      <c r="B233" t="s">
        <v>1606</v>
      </c>
      <c r="C233" s="532">
        <v>1.9199999999999998E-2</v>
      </c>
      <c r="E233" t="s">
        <v>1381</v>
      </c>
    </row>
    <row r="234" spans="1:5">
      <c r="A234">
        <v>44</v>
      </c>
      <c r="B234" t="s">
        <v>1607</v>
      </c>
      <c r="C234" s="532">
        <v>540120.64</v>
      </c>
      <c r="E234" t="s">
        <v>1381</v>
      </c>
    </row>
    <row r="235" spans="1:5">
      <c r="A235">
        <v>44</v>
      </c>
      <c r="B235" t="s">
        <v>1608</v>
      </c>
      <c r="C235" s="532">
        <v>477547973.36000001</v>
      </c>
      <c r="E235" t="s">
        <v>1381</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90" zoomScaleNormal="100" zoomScaleSheetLayoutView="90" workbookViewId="0">
      <selection activeCell="B3" sqref="B3"/>
    </sheetView>
  </sheetViews>
  <sheetFormatPr baseColWidth="10" defaultColWidth="9.1796875" defaultRowHeight="12.5"/>
  <cols>
    <col min="1" max="1" width="1.453125" style="105" customWidth="1"/>
    <col min="2" max="2" width="41.1796875" style="105" customWidth="1"/>
    <col min="3" max="3" width="18.81640625" style="105" customWidth="1"/>
    <col min="4" max="4" width="23.1796875" style="105" customWidth="1"/>
    <col min="5" max="5" width="18.1796875" style="105" customWidth="1"/>
    <col min="6" max="6" width="23.1796875" style="105" customWidth="1"/>
    <col min="7" max="7" width="17.1796875" style="105" customWidth="1"/>
    <col min="8" max="8" width="10.453125" style="105" customWidth="1"/>
    <col min="9" max="9" width="4.81640625" style="105" customWidth="1"/>
    <col min="10" max="10" width="8.81640625" style="105" bestFit="1" customWidth="1"/>
    <col min="11" max="11" width="1.1796875" style="105" customWidth="1"/>
    <col min="12" max="12" width="11.54296875" style="105" bestFit="1" customWidth="1"/>
    <col min="13" max="16384" width="9.1796875" style="105"/>
  </cols>
  <sheetData>
    <row r="1" spans="1:13" ht="6" customHeight="1">
      <c r="A1" s="130"/>
      <c r="B1" s="131"/>
      <c r="C1" s="131"/>
      <c r="D1" s="131"/>
      <c r="E1" s="131"/>
      <c r="F1" s="131"/>
      <c r="G1" s="131"/>
      <c r="H1" s="131"/>
      <c r="I1" s="131"/>
      <c r="J1" s="131"/>
      <c r="K1" s="132"/>
    </row>
    <row r="2" spans="1:13" ht="18">
      <c r="A2" s="133"/>
      <c r="B2" s="134" t="str">
        <f>'Cover Sheet'!B2</f>
        <v>SC Germany Consumer 2023-1</v>
      </c>
      <c r="C2" s="879"/>
      <c r="D2" s="135" t="s">
        <v>405</v>
      </c>
      <c r="E2" s="136"/>
      <c r="F2" s="137">
        <f>'Cover Sheet'!F2</f>
        <v>45973</v>
      </c>
      <c r="G2" s="136"/>
      <c r="H2" s="136"/>
      <c r="I2" s="136"/>
      <c r="J2" s="138"/>
      <c r="K2" s="139"/>
      <c r="L2" s="880"/>
    </row>
    <row r="3" spans="1:13" ht="18">
      <c r="A3" s="133"/>
      <c r="B3" s="134" t="str">
        <f>'Cover Sheet'!B3</f>
        <v>Monthly Investor Report</v>
      </c>
      <c r="C3" s="879"/>
      <c r="D3" s="141" t="s">
        <v>2</v>
      </c>
      <c r="E3" s="142"/>
      <c r="F3" s="143">
        <f>'Cover Sheet'!F3</f>
        <v>45975</v>
      </c>
      <c r="G3" s="142"/>
      <c r="H3" s="142"/>
      <c r="I3" s="142"/>
      <c r="J3" s="144"/>
      <c r="K3" s="139"/>
      <c r="L3" s="881"/>
    </row>
    <row r="4" spans="1:13" ht="13">
      <c r="A4" s="133"/>
      <c r="B4" s="185"/>
      <c r="C4" s="145"/>
      <c r="D4" s="141" t="s">
        <v>3</v>
      </c>
      <c r="E4" s="142"/>
      <c r="F4" s="146">
        <f>'Cover Sheet'!F4</f>
        <v>27</v>
      </c>
      <c r="G4" s="142"/>
      <c r="H4" s="147"/>
      <c r="I4" s="142"/>
      <c r="J4" s="148"/>
      <c r="K4" s="139"/>
      <c r="L4" s="880"/>
    </row>
    <row r="5" spans="1:13" ht="18">
      <c r="A5" s="133"/>
      <c r="B5" s="149" t="s">
        <v>360</v>
      </c>
      <c r="C5" s="882"/>
      <c r="D5" s="141" t="s">
        <v>1</v>
      </c>
      <c r="E5" s="142"/>
      <c r="F5" s="150">
        <f>'Cover Sheet'!F5</f>
        <v>45975</v>
      </c>
      <c r="G5" s="142"/>
      <c r="H5" s="147"/>
      <c r="I5" s="142"/>
      <c r="J5" s="148"/>
      <c r="K5" s="139"/>
      <c r="L5" s="881"/>
    </row>
    <row r="6" spans="1:13" ht="15" customHeight="1">
      <c r="A6" s="133"/>
      <c r="B6" s="151"/>
      <c r="C6" s="140"/>
      <c r="D6" s="141" t="s">
        <v>51</v>
      </c>
      <c r="E6" s="152" t="s">
        <v>34</v>
      </c>
      <c r="F6" s="143">
        <f>'Cover Sheet'!F6</f>
        <v>45944</v>
      </c>
      <c r="G6" s="152" t="str">
        <f>'Cover Sheet'!G6</f>
        <v>to</v>
      </c>
      <c r="H6" s="143">
        <f>'Cover Sheet'!H6</f>
        <v>45975</v>
      </c>
      <c r="I6" s="152" t="str">
        <f>'Cover Sheet'!I6</f>
        <v>=</v>
      </c>
      <c r="J6" s="153" t="str">
        <f>'Cover Sheet'!J6</f>
        <v>31 days</v>
      </c>
      <c r="K6" s="154"/>
      <c r="M6" s="155"/>
    </row>
    <row r="7" spans="1:13" ht="13">
      <c r="A7" s="133"/>
      <c r="B7" s="883"/>
      <c r="C7" s="883"/>
      <c r="D7" s="156" t="s">
        <v>111</v>
      </c>
      <c r="E7" s="157" t="s">
        <v>34</v>
      </c>
      <c r="F7" s="158" t="str">
        <f>'Cover Sheet'!F7</f>
        <v>01.10.2025</v>
      </c>
      <c r="G7" s="157" t="str">
        <f>'Cover Sheet'!G7</f>
        <v>to</v>
      </c>
      <c r="H7" s="158">
        <f>'Cover Sheet'!H7</f>
        <v>45961</v>
      </c>
      <c r="I7" s="384"/>
      <c r="J7" s="192"/>
      <c r="K7" s="139"/>
    </row>
    <row r="8" spans="1:13" ht="13">
      <c r="A8" s="133"/>
      <c r="B8" s="123"/>
      <c r="C8" s="123"/>
      <c r="D8" s="115"/>
      <c r="E8" s="123"/>
      <c r="F8" s="161"/>
      <c r="G8" s="162"/>
      <c r="H8" s="163"/>
      <c r="I8" s="123"/>
      <c r="J8" s="123"/>
      <c r="K8" s="139"/>
    </row>
    <row r="9" spans="1:13" ht="13">
      <c r="A9" s="133"/>
      <c r="B9" s="123"/>
      <c r="C9" s="123"/>
      <c r="D9" s="115"/>
      <c r="E9" s="123"/>
      <c r="F9" s="161"/>
      <c r="G9" s="162"/>
      <c r="H9" s="163"/>
      <c r="I9" s="123"/>
      <c r="J9" s="123"/>
      <c r="K9" s="139"/>
    </row>
    <row r="10" spans="1:13" ht="13">
      <c r="A10" s="133"/>
      <c r="B10" s="123"/>
      <c r="C10" s="123"/>
      <c r="D10" s="115"/>
      <c r="E10" s="123"/>
      <c r="F10" s="161"/>
      <c r="G10" s="162"/>
      <c r="H10" s="163"/>
      <c r="I10" s="123"/>
      <c r="J10" s="123"/>
      <c r="K10" s="139"/>
    </row>
    <row r="11" spans="1:13" ht="18" customHeight="1">
      <c r="A11" s="133"/>
      <c r="B11" s="123"/>
      <c r="C11" s="123"/>
      <c r="D11" s="115"/>
      <c r="E11" s="123"/>
      <c r="F11" s="161"/>
      <c r="G11" s="162"/>
      <c r="H11" s="163"/>
      <c r="I11" s="123"/>
      <c r="J11" s="162"/>
      <c r="K11" s="139"/>
    </row>
    <row r="12" spans="1:13" ht="18" customHeight="1" thickBot="1">
      <c r="A12" s="133"/>
      <c r="B12" s="123"/>
      <c r="C12" s="123"/>
      <c r="D12" s="115"/>
      <c r="E12" s="123"/>
      <c r="F12" s="161"/>
      <c r="G12" s="162"/>
      <c r="H12" s="163"/>
      <c r="I12" s="123"/>
      <c r="J12" s="162"/>
      <c r="K12" s="139"/>
    </row>
    <row r="13" spans="1:13" ht="18" customHeight="1">
      <c r="A13" s="133"/>
      <c r="B13" s="1027" t="s">
        <v>111</v>
      </c>
      <c r="C13" s="1027" t="s">
        <v>413</v>
      </c>
      <c r="D13" s="1027" t="s">
        <v>37</v>
      </c>
      <c r="E13" s="1027" t="s">
        <v>38</v>
      </c>
      <c r="F13" s="1027" t="s">
        <v>39</v>
      </c>
      <c r="G13" s="1030" t="s">
        <v>362</v>
      </c>
      <c r="H13" s="1029"/>
      <c r="I13" s="1026"/>
      <c r="J13" s="1026"/>
      <c r="K13" s="139"/>
    </row>
    <row r="14" spans="1:13" ht="18" customHeight="1" thickBot="1">
      <c r="A14" s="133"/>
      <c r="B14" s="1028"/>
      <c r="C14" s="1028"/>
      <c r="D14" s="1028"/>
      <c r="E14" s="1028"/>
      <c r="F14" s="1028"/>
      <c r="G14" s="1031"/>
      <c r="H14" s="1029"/>
      <c r="I14" s="1026"/>
      <c r="J14" s="1026"/>
      <c r="K14" s="139"/>
    </row>
    <row r="15" spans="1:13" ht="15" customHeight="1">
      <c r="A15" s="133"/>
      <c r="B15" s="1014">
        <v>1</v>
      </c>
      <c r="C15" s="1015">
        <f t="shared" ref="C15:C46" si="0">IF($F$4&gt;=B15,VLOOKUP(CONCATENATE("portfolio_",$B15),portfolio_p.p,2,0),"")</f>
        <v>799999981.55999994</v>
      </c>
      <c r="D15" s="1015">
        <f t="shared" ref="D15:D46" si="1">IF($F$4&gt;=B15,VLOOKUP(CONCATENATE("portfolio_",$B15),portfolio_p.p,3,0),"")</f>
        <v>10261648.470000001</v>
      </c>
      <c r="E15" s="1015">
        <f t="shared" ref="E15:E46" si="2">IF($F$4&gt;=B15,VLOOKUP(CONCATENATE("portfolio_",$B15),portfolio_p.p,4,0),"")</f>
        <v>12394844.209999999</v>
      </c>
      <c r="F15" s="1015">
        <f t="shared" ref="F15:F46" si="3">IF($F$4&gt;=B15,VLOOKUP(CONCATENATE("portfolio_",$B15),portfolio_p.p,5,0),"")</f>
        <v>22656492.68</v>
      </c>
      <c r="G15" s="1016">
        <f t="shared" ref="G15:G46" si="4">IF($F$4&gt;=B15,VLOOKUP(CONCATENATE("portfolio_",$B15),portfolio_p.p,6,0),"")</f>
        <v>0.17086975151042294</v>
      </c>
      <c r="H15" s="163"/>
      <c r="I15" s="123"/>
      <c r="J15" s="162"/>
      <c r="K15" s="139"/>
    </row>
    <row r="16" spans="1:13" ht="15" customHeight="1">
      <c r="A16" s="133"/>
      <c r="B16" s="1017">
        <v>2</v>
      </c>
      <c r="C16" s="391">
        <f t="shared" si="0"/>
        <v>799999981.55999982</v>
      </c>
      <c r="D16" s="391">
        <f t="shared" si="1"/>
        <v>10582715.700000007</v>
      </c>
      <c r="E16" s="391">
        <f t="shared" si="2"/>
        <v>9485939.2199999951</v>
      </c>
      <c r="F16" s="391">
        <f t="shared" si="3"/>
        <v>20068654.920000002</v>
      </c>
      <c r="G16" s="1018">
        <f t="shared" si="4"/>
        <v>0.13336675778769724</v>
      </c>
      <c r="H16" s="163"/>
      <c r="I16" s="123"/>
      <c r="J16" s="162"/>
      <c r="K16" s="139"/>
    </row>
    <row r="17" spans="1:12" ht="15" customHeight="1">
      <c r="A17" s="133"/>
      <c r="B17" s="1017">
        <v>3</v>
      </c>
      <c r="C17" s="1002">
        <f t="shared" si="0"/>
        <v>799999941.95999992</v>
      </c>
      <c r="D17" s="1002">
        <f t="shared" si="1"/>
        <v>10289028.229999999</v>
      </c>
      <c r="E17" s="1002">
        <f t="shared" si="2"/>
        <v>9151176.2500000019</v>
      </c>
      <c r="F17" s="1002">
        <f t="shared" si="3"/>
        <v>19440204.48</v>
      </c>
      <c r="G17" s="1018">
        <f t="shared" si="4"/>
        <v>0.12895252131821233</v>
      </c>
      <c r="H17" s="163"/>
      <c r="I17" s="123"/>
      <c r="J17" s="162"/>
      <c r="K17" s="139"/>
    </row>
    <row r="18" spans="1:12" ht="15" customHeight="1">
      <c r="A18" s="133"/>
      <c r="B18" s="1017">
        <v>4</v>
      </c>
      <c r="C18" s="1002">
        <f t="shared" si="0"/>
        <v>799999971.15999997</v>
      </c>
      <c r="D18" s="1002">
        <f t="shared" si="1"/>
        <v>9939918.8300000131</v>
      </c>
      <c r="E18" s="1002">
        <f t="shared" si="2"/>
        <v>10413806.879999988</v>
      </c>
      <c r="F18" s="1002">
        <f t="shared" si="3"/>
        <v>20353725.710000001</v>
      </c>
      <c r="G18" s="1018">
        <f t="shared" si="4"/>
        <v>0.14549481889488336</v>
      </c>
      <c r="H18" s="163"/>
      <c r="I18" s="123"/>
      <c r="J18" s="162"/>
      <c r="K18" s="139"/>
    </row>
    <row r="19" spans="1:12" ht="15" customHeight="1">
      <c r="A19" s="133"/>
      <c r="B19" s="1017">
        <v>5</v>
      </c>
      <c r="C19" s="1002">
        <f t="shared" si="0"/>
        <v>799999965.68999982</v>
      </c>
      <c r="D19" s="1002">
        <f t="shared" si="1"/>
        <v>9871476.7900000028</v>
      </c>
      <c r="E19" s="1002">
        <f t="shared" si="2"/>
        <v>6550441.0099999979</v>
      </c>
      <c r="F19" s="1002">
        <f t="shared" si="3"/>
        <v>16421917.800000001</v>
      </c>
      <c r="G19" s="1018">
        <f t="shared" si="4"/>
        <v>9.3950278242669993E-2</v>
      </c>
      <c r="H19" s="163"/>
      <c r="I19" s="123"/>
      <c r="J19" s="162"/>
      <c r="K19" s="139"/>
    </row>
    <row r="20" spans="1:12" ht="15" customHeight="1">
      <c r="A20" s="133"/>
      <c r="B20" s="1017">
        <v>6</v>
      </c>
      <c r="C20" s="1002">
        <f t="shared" si="0"/>
        <v>799999978.47999978</v>
      </c>
      <c r="D20" s="1002">
        <f t="shared" si="1"/>
        <v>10979167.32</v>
      </c>
      <c r="E20" s="1002">
        <f t="shared" si="2"/>
        <v>15537572.989999998</v>
      </c>
      <c r="F20" s="1002">
        <f t="shared" si="3"/>
        <v>26516740.309999999</v>
      </c>
      <c r="G20" s="1018">
        <f t="shared" si="4"/>
        <v>0.20971103059263285</v>
      </c>
      <c r="H20" s="163"/>
      <c r="I20" s="123"/>
      <c r="J20" s="162"/>
      <c r="K20" s="139"/>
    </row>
    <row r="21" spans="1:12" ht="15" customHeight="1">
      <c r="A21" s="133"/>
      <c r="B21" s="1017">
        <v>7</v>
      </c>
      <c r="C21" s="1002">
        <f t="shared" si="0"/>
        <v>799999981.26999986</v>
      </c>
      <c r="D21" s="1002">
        <f t="shared" si="1"/>
        <v>11106669.149999999</v>
      </c>
      <c r="E21" s="1002">
        <f t="shared" si="2"/>
        <v>12924974.650000002</v>
      </c>
      <c r="F21" s="1002">
        <f t="shared" si="3"/>
        <v>24031643.800000001</v>
      </c>
      <c r="G21" s="1018">
        <f t="shared" si="4"/>
        <v>0.17754198265391641</v>
      </c>
      <c r="H21" s="123"/>
      <c r="I21" s="123"/>
      <c r="J21" s="123"/>
      <c r="K21" s="139"/>
    </row>
    <row r="22" spans="1:12" ht="15" customHeight="1">
      <c r="A22" s="133"/>
      <c r="B22" s="1017">
        <v>8</v>
      </c>
      <c r="C22" s="1002">
        <f t="shared" si="0"/>
        <v>799999972.76999974</v>
      </c>
      <c r="D22" s="1002">
        <f t="shared" si="1"/>
        <v>11483029.039999992</v>
      </c>
      <c r="E22" s="1002">
        <f t="shared" si="2"/>
        <v>12487025.300000008</v>
      </c>
      <c r="F22" s="1002">
        <f t="shared" si="3"/>
        <v>23970054.34</v>
      </c>
      <c r="G22" s="1018">
        <f t="shared" si="4"/>
        <v>0.17203349805926094</v>
      </c>
      <c r="H22" s="123"/>
      <c r="I22" s="123"/>
      <c r="J22" s="884"/>
      <c r="K22" s="139"/>
      <c r="L22" s="885"/>
    </row>
    <row r="23" spans="1:12" ht="15" customHeight="1">
      <c r="A23" s="133"/>
      <c r="B23" s="1017">
        <v>9</v>
      </c>
      <c r="C23" s="1002">
        <f t="shared" si="0"/>
        <v>799999975.17999971</v>
      </c>
      <c r="D23" s="1002">
        <f t="shared" si="1"/>
        <v>11025237.619999994</v>
      </c>
      <c r="E23" s="1002">
        <f t="shared" si="2"/>
        <v>14344913.090000007</v>
      </c>
      <c r="F23" s="1002">
        <f t="shared" si="3"/>
        <v>25370150.710000001</v>
      </c>
      <c r="G23" s="1018">
        <f t="shared" si="4"/>
        <v>0.19517163387971848</v>
      </c>
      <c r="H23" s="123"/>
      <c r="I23" s="123"/>
      <c r="J23" s="886"/>
      <c r="K23" s="139"/>
    </row>
    <row r="24" spans="1:12" ht="15" customHeight="1">
      <c r="A24" s="133"/>
      <c r="B24" s="1017">
        <v>10</v>
      </c>
      <c r="C24" s="1002">
        <f t="shared" si="0"/>
        <v>799999960.75999975</v>
      </c>
      <c r="D24" s="1002">
        <f t="shared" si="1"/>
        <v>11163027.209999995</v>
      </c>
      <c r="E24" s="1002">
        <f t="shared" si="2"/>
        <v>12122966.330000004</v>
      </c>
      <c r="F24" s="1002">
        <f t="shared" si="3"/>
        <v>23285993.539999999</v>
      </c>
      <c r="G24" s="1018">
        <f t="shared" si="4"/>
        <v>0.16742868123041288</v>
      </c>
      <c r="H24" s="887"/>
      <c r="I24" s="887"/>
      <c r="J24" s="888"/>
      <c r="K24" s="139"/>
    </row>
    <row r="25" spans="1:12" ht="15" customHeight="1">
      <c r="A25" s="133"/>
      <c r="B25" s="1017">
        <v>11</v>
      </c>
      <c r="C25" s="1002">
        <f t="shared" si="0"/>
        <v>799999954.80999982</v>
      </c>
      <c r="D25" s="1002">
        <f t="shared" si="1"/>
        <v>11145369.149999991</v>
      </c>
      <c r="E25" s="1002">
        <f t="shared" si="2"/>
        <v>12397144.780000009</v>
      </c>
      <c r="F25" s="1002">
        <f t="shared" si="3"/>
        <v>23542513.93</v>
      </c>
      <c r="G25" s="1018">
        <f t="shared" si="4"/>
        <v>0.17089881864260947</v>
      </c>
      <c r="H25" s="875"/>
      <c r="I25" s="875"/>
      <c r="J25" s="874"/>
      <c r="K25" s="139"/>
    </row>
    <row r="26" spans="1:12" ht="15" customHeight="1">
      <c r="A26" s="133"/>
      <c r="B26" s="1017">
        <v>12</v>
      </c>
      <c r="C26" s="1002">
        <f t="shared" si="0"/>
        <v>799999976.96000004</v>
      </c>
      <c r="D26" s="1002">
        <f t="shared" si="1"/>
        <v>12305618.009999996</v>
      </c>
      <c r="E26" s="1002">
        <f t="shared" si="2"/>
        <v>15468810.660000006</v>
      </c>
      <c r="F26" s="1002">
        <f t="shared" si="3"/>
        <v>27774428.670000002</v>
      </c>
      <c r="G26" s="1018">
        <f t="shared" si="4"/>
        <v>0.208879353354677</v>
      </c>
      <c r="H26" s="875"/>
      <c r="I26" s="875"/>
      <c r="J26" s="877"/>
      <c r="K26" s="139"/>
    </row>
    <row r="27" spans="1:12" ht="15" customHeight="1">
      <c r="A27" s="133"/>
      <c r="B27" s="1017">
        <v>13</v>
      </c>
      <c r="C27" s="1002">
        <f t="shared" si="0"/>
        <v>799999953.42999995</v>
      </c>
      <c r="D27" s="1002">
        <f t="shared" si="1"/>
        <v>11190351.489999993</v>
      </c>
      <c r="E27" s="1002">
        <f t="shared" si="2"/>
        <v>13033181.790000008</v>
      </c>
      <c r="F27" s="1002">
        <f t="shared" si="3"/>
        <v>24223533.280000001</v>
      </c>
      <c r="G27" s="1018">
        <f t="shared" si="4"/>
        <v>0.17889782201903159</v>
      </c>
      <c r="H27" s="875"/>
      <c r="I27" s="875"/>
      <c r="J27" s="336"/>
      <c r="K27" s="139"/>
    </row>
    <row r="28" spans="1:12" ht="15" customHeight="1">
      <c r="A28" s="133"/>
      <c r="B28" s="1017">
        <v>14</v>
      </c>
      <c r="C28" s="1002">
        <f t="shared" si="0"/>
        <v>773493852.49000001</v>
      </c>
      <c r="D28" s="1002">
        <f t="shared" si="1"/>
        <v>10673564.679999989</v>
      </c>
      <c r="E28" s="1002">
        <f t="shared" si="2"/>
        <v>12207476.800000012</v>
      </c>
      <c r="F28" s="1002">
        <f t="shared" si="3"/>
        <v>22881041.48</v>
      </c>
      <c r="G28" s="1018">
        <f t="shared" si="4"/>
        <v>0.17378268219996607</v>
      </c>
      <c r="H28" s="875"/>
      <c r="I28" s="875"/>
      <c r="J28" s="874"/>
      <c r="K28" s="139"/>
    </row>
    <row r="29" spans="1:12" ht="15" customHeight="1">
      <c r="A29" s="133"/>
      <c r="B29" s="1017">
        <v>15</v>
      </c>
      <c r="C29" s="1002">
        <f t="shared" si="0"/>
        <v>749195329.34000003</v>
      </c>
      <c r="D29" s="1002">
        <f t="shared" si="1"/>
        <v>10816233.129999995</v>
      </c>
      <c r="E29" s="1002">
        <f t="shared" si="2"/>
        <v>12190468.270000003</v>
      </c>
      <c r="F29" s="1002">
        <f t="shared" si="3"/>
        <v>23006701.399999999</v>
      </c>
      <c r="G29" s="1018">
        <f t="shared" si="4"/>
        <v>0.1786968404237913</v>
      </c>
      <c r="H29" s="875"/>
      <c r="I29" s="875"/>
      <c r="J29" s="874"/>
      <c r="K29" s="139"/>
    </row>
    <row r="30" spans="1:12" ht="15" customHeight="1">
      <c r="A30" s="133"/>
      <c r="B30" s="1017">
        <v>16</v>
      </c>
      <c r="C30" s="1002">
        <f t="shared" si="0"/>
        <v>723934669.34000003</v>
      </c>
      <c r="D30" s="1002">
        <f t="shared" si="1"/>
        <v>10391715.339999992</v>
      </c>
      <c r="E30" s="1002">
        <f t="shared" si="2"/>
        <v>9366010.9100000076</v>
      </c>
      <c r="F30" s="1002">
        <f t="shared" si="3"/>
        <v>19757726.25</v>
      </c>
      <c r="G30" s="1018">
        <f t="shared" si="4"/>
        <v>0.14466733378239882</v>
      </c>
      <c r="H30" s="875"/>
      <c r="I30" s="875"/>
      <c r="J30" s="874"/>
      <c r="K30" s="139"/>
    </row>
    <row r="31" spans="1:12" ht="15" customHeight="1">
      <c r="A31" s="133"/>
      <c r="B31" s="1017">
        <v>17</v>
      </c>
      <c r="C31" s="1002">
        <f t="shared" si="0"/>
        <v>702538142.62</v>
      </c>
      <c r="D31" s="1002">
        <f t="shared" si="1"/>
        <v>9800878.3299999982</v>
      </c>
      <c r="E31" s="1002">
        <f t="shared" si="2"/>
        <v>5164945.9700000016</v>
      </c>
      <c r="F31" s="1002">
        <f t="shared" si="3"/>
        <v>14965824.300000001</v>
      </c>
      <c r="G31" s="1018">
        <f t="shared" si="4"/>
        <v>8.474076814582554E-2</v>
      </c>
      <c r="H31" s="875"/>
      <c r="I31" s="875"/>
      <c r="J31" s="874"/>
      <c r="K31" s="139"/>
    </row>
    <row r="32" spans="1:12" ht="15" customHeight="1">
      <c r="A32" s="133"/>
      <c r="B32" s="1017">
        <v>18</v>
      </c>
      <c r="C32" s="1002">
        <f t="shared" si="0"/>
        <v>685574203.97000003</v>
      </c>
      <c r="D32" s="1002">
        <f t="shared" si="1"/>
        <v>10489266.93999999</v>
      </c>
      <c r="E32" s="1002">
        <f t="shared" si="2"/>
        <v>9446739.0000000112</v>
      </c>
      <c r="F32" s="1002">
        <f t="shared" si="3"/>
        <v>19936005.940000001</v>
      </c>
      <c r="G32" s="1018">
        <f t="shared" si="4"/>
        <v>0.15337845480875234</v>
      </c>
      <c r="H32" s="875"/>
      <c r="I32" s="875"/>
      <c r="J32" s="874"/>
      <c r="K32" s="139"/>
    </row>
    <row r="33" spans="1:11" ht="15" customHeight="1">
      <c r="A33" s="133"/>
      <c r="B33" s="1017">
        <v>19</v>
      </c>
      <c r="C33" s="1002">
        <f t="shared" si="0"/>
        <v>663385495.13</v>
      </c>
      <c r="D33" s="1002">
        <f t="shared" si="1"/>
        <v>9971135.7500000056</v>
      </c>
      <c r="E33" s="1002">
        <f t="shared" si="2"/>
        <v>8139337.3699999955</v>
      </c>
      <c r="F33" s="1002">
        <f t="shared" si="3"/>
        <v>18110473.120000001</v>
      </c>
      <c r="G33" s="1018">
        <f t="shared" si="4"/>
        <v>0.13769254975135714</v>
      </c>
      <c r="H33" s="875"/>
      <c r="I33" s="875"/>
      <c r="J33" s="874"/>
      <c r="K33" s="139"/>
    </row>
    <row r="34" spans="1:11" ht="15" customHeight="1">
      <c r="A34" s="133"/>
      <c r="B34" s="1017">
        <v>20</v>
      </c>
      <c r="C34" s="1002">
        <f t="shared" si="0"/>
        <v>642933391.97000003</v>
      </c>
      <c r="D34" s="1002">
        <f t="shared" si="1"/>
        <v>9882574.9799999986</v>
      </c>
      <c r="E34" s="1002">
        <f t="shared" si="2"/>
        <v>8282281.160000002</v>
      </c>
      <c r="F34" s="1002">
        <f t="shared" si="3"/>
        <v>18164856.140000001</v>
      </c>
      <c r="G34" s="1019">
        <f t="shared" si="4"/>
        <v>0.14408872554833385</v>
      </c>
      <c r="H34" s="875"/>
      <c r="I34" s="875"/>
      <c r="J34" s="874"/>
      <c r="K34" s="139"/>
    </row>
    <row r="35" spans="1:11" ht="15" customHeight="1">
      <c r="A35" s="133"/>
      <c r="B35" s="1017">
        <v>21</v>
      </c>
      <c r="C35" s="1002">
        <f t="shared" si="0"/>
        <v>622702749.44000006</v>
      </c>
      <c r="D35" s="1002">
        <f t="shared" si="1"/>
        <v>9434955.0700000003</v>
      </c>
      <c r="E35" s="1002">
        <f t="shared" si="2"/>
        <v>7989945.6499999985</v>
      </c>
      <c r="F35" s="1002">
        <f t="shared" si="3"/>
        <v>17424900.719999999</v>
      </c>
      <c r="G35" s="1019">
        <f t="shared" si="4"/>
        <v>0.14355848762300172</v>
      </c>
      <c r="H35" s="875"/>
      <c r="I35" s="875"/>
      <c r="J35" s="874"/>
      <c r="K35" s="139"/>
    </row>
    <row r="36" spans="1:11" ht="15" customHeight="1">
      <c r="A36" s="133"/>
      <c r="B36" s="1017">
        <v>22</v>
      </c>
      <c r="C36" s="1002">
        <f t="shared" si="0"/>
        <v>603149210.98000002</v>
      </c>
      <c r="D36" s="1002">
        <f t="shared" si="1"/>
        <v>9443670.0199999977</v>
      </c>
      <c r="E36" s="1002">
        <f t="shared" si="2"/>
        <v>8150790.8600000013</v>
      </c>
      <c r="F36" s="1002">
        <f t="shared" si="3"/>
        <v>17594460.879999999</v>
      </c>
      <c r="G36" s="1019">
        <f t="shared" si="4"/>
        <v>0.15063847835732547</v>
      </c>
      <c r="H36" s="875"/>
      <c r="I36" s="875"/>
      <c r="J36" s="874"/>
      <c r="K36" s="139"/>
    </row>
    <row r="37" spans="1:11" s="66" customFormat="1" ht="15" customHeight="1">
      <c r="A37" s="889"/>
      <c r="B37" s="1017">
        <v>23</v>
      </c>
      <c r="C37" s="1002">
        <f t="shared" si="0"/>
        <v>583440638.30999994</v>
      </c>
      <c r="D37" s="1002">
        <f t="shared" si="1"/>
        <v>9159227.8700000029</v>
      </c>
      <c r="E37" s="1002">
        <f t="shared" si="2"/>
        <v>6921439.0699999966</v>
      </c>
      <c r="F37" s="1002">
        <f t="shared" si="3"/>
        <v>16080666.939999999</v>
      </c>
      <c r="G37" s="1019">
        <f t="shared" si="4"/>
        <v>0.13342692992347571</v>
      </c>
      <c r="H37" s="890"/>
      <c r="I37" s="890"/>
      <c r="J37" s="891"/>
      <c r="K37" s="194"/>
    </row>
    <row r="38" spans="1:11" s="66" customFormat="1" ht="15" customHeight="1">
      <c r="A38" s="889"/>
      <c r="B38" s="1017">
        <v>24</v>
      </c>
      <c r="C38" s="1002">
        <f t="shared" si="0"/>
        <v>565909952.76999998</v>
      </c>
      <c r="D38" s="1002">
        <f t="shared" si="1"/>
        <v>8990452.6700000037</v>
      </c>
      <c r="E38" s="1002">
        <f t="shared" si="2"/>
        <v>8514965.9999999981</v>
      </c>
      <c r="F38" s="1002">
        <f t="shared" si="3"/>
        <v>17505418.670000002</v>
      </c>
      <c r="G38" s="1019">
        <f t="shared" si="4"/>
        <v>0.16634047665290508</v>
      </c>
      <c r="H38" s="887"/>
      <c r="I38" s="887"/>
      <c r="J38" s="874"/>
      <c r="K38" s="194"/>
    </row>
    <row r="39" spans="1:11" s="66" customFormat="1" ht="15" customHeight="1">
      <c r="A39" s="889"/>
      <c r="B39" s="1017">
        <v>25</v>
      </c>
      <c r="C39" s="1002">
        <f t="shared" si="0"/>
        <v>545962122.88999999</v>
      </c>
      <c r="D39" s="1002">
        <f t="shared" si="1"/>
        <v>8771977.9599999972</v>
      </c>
      <c r="E39" s="1002">
        <f t="shared" si="2"/>
        <v>5962381.910000002</v>
      </c>
      <c r="F39" s="1002">
        <f t="shared" si="3"/>
        <v>14734359.869999999</v>
      </c>
      <c r="G39" s="1019">
        <f t="shared" si="4"/>
        <v>0.12345856054353166</v>
      </c>
      <c r="H39" s="887"/>
      <c r="I39" s="887"/>
      <c r="J39" s="874"/>
      <c r="K39" s="194"/>
    </row>
    <row r="40" spans="1:11" ht="15" customHeight="1">
      <c r="A40" s="133"/>
      <c r="B40" s="1017">
        <v>26</v>
      </c>
      <c r="C40" s="1002">
        <f t="shared" si="0"/>
        <v>528523069.44999999</v>
      </c>
      <c r="D40" s="1002">
        <f t="shared" si="1"/>
        <v>8969960.3400000036</v>
      </c>
      <c r="E40" s="1002">
        <f t="shared" si="2"/>
        <v>6635839.2199999979</v>
      </c>
      <c r="F40" s="1002">
        <f t="shared" si="3"/>
        <v>15605799.560000001</v>
      </c>
      <c r="G40" s="1019">
        <f t="shared" si="4"/>
        <v>0.14068446479583352</v>
      </c>
      <c r="H40" s="875"/>
      <c r="I40" s="875"/>
      <c r="J40" s="892"/>
      <c r="K40" s="139"/>
    </row>
    <row r="41" spans="1:11" ht="15" customHeight="1">
      <c r="A41" s="133"/>
      <c r="B41" s="1017">
        <v>27</v>
      </c>
      <c r="C41" s="1002">
        <f t="shared" si="0"/>
        <v>510138365.52999997</v>
      </c>
      <c r="D41" s="1002">
        <f t="shared" si="1"/>
        <v>8569526.9700000025</v>
      </c>
      <c r="E41" s="1002">
        <f t="shared" si="2"/>
        <v>6497243.5799999982</v>
      </c>
      <c r="F41" s="1002">
        <f t="shared" si="3"/>
        <v>15066770.550000001</v>
      </c>
      <c r="G41" s="1019">
        <f t="shared" si="4"/>
        <v>0.14257062841221446</v>
      </c>
      <c r="H41" s="875"/>
      <c r="I41" s="875"/>
      <c r="J41" s="877"/>
      <c r="K41" s="139"/>
    </row>
    <row r="42" spans="1:11" ht="15" customHeight="1">
      <c r="A42" s="133"/>
      <c r="B42" s="1017">
        <v>28</v>
      </c>
      <c r="C42" s="1002" t="str">
        <f t="shared" si="0"/>
        <v/>
      </c>
      <c r="D42" s="1002" t="str">
        <f t="shared" si="1"/>
        <v/>
      </c>
      <c r="E42" s="1002" t="str">
        <f t="shared" si="2"/>
        <v/>
      </c>
      <c r="F42" s="1002" t="str">
        <f t="shared" si="3"/>
        <v/>
      </c>
      <c r="G42" s="1019" t="str">
        <f t="shared" si="4"/>
        <v/>
      </c>
      <c r="H42" s="123"/>
      <c r="I42" s="123"/>
      <c r="J42" s="185"/>
      <c r="K42" s="139"/>
    </row>
    <row r="43" spans="1:11" ht="15" customHeight="1">
      <c r="A43" s="133"/>
      <c r="B43" s="1017">
        <v>29</v>
      </c>
      <c r="C43" s="1002" t="str">
        <f t="shared" si="0"/>
        <v/>
      </c>
      <c r="D43" s="1002" t="str">
        <f t="shared" si="1"/>
        <v/>
      </c>
      <c r="E43" s="1002" t="str">
        <f t="shared" si="2"/>
        <v/>
      </c>
      <c r="F43" s="1002" t="str">
        <f t="shared" si="3"/>
        <v/>
      </c>
      <c r="G43" s="1019" t="str">
        <f t="shared" si="4"/>
        <v/>
      </c>
      <c r="H43" s="123"/>
      <c r="I43" s="123"/>
      <c r="J43" s="185"/>
      <c r="K43" s="139"/>
    </row>
    <row r="44" spans="1:11" ht="15" customHeight="1">
      <c r="A44" s="133"/>
      <c r="B44" s="1017">
        <v>30</v>
      </c>
      <c r="C44" s="1002" t="str">
        <f t="shared" si="0"/>
        <v/>
      </c>
      <c r="D44" s="1002" t="str">
        <f t="shared" si="1"/>
        <v/>
      </c>
      <c r="E44" s="1002" t="str">
        <f t="shared" si="2"/>
        <v/>
      </c>
      <c r="F44" s="1002" t="str">
        <f t="shared" si="3"/>
        <v/>
      </c>
      <c r="G44" s="1019" t="str">
        <f t="shared" si="4"/>
        <v/>
      </c>
      <c r="H44" s="123"/>
      <c r="I44" s="123"/>
      <c r="J44" s="185"/>
      <c r="K44" s="139"/>
    </row>
    <row r="45" spans="1:11" ht="15" customHeight="1">
      <c r="A45" s="133"/>
      <c r="B45" s="1017">
        <v>31</v>
      </c>
      <c r="C45" s="1002" t="str">
        <f t="shared" si="0"/>
        <v/>
      </c>
      <c r="D45" s="1002" t="str">
        <f t="shared" si="1"/>
        <v/>
      </c>
      <c r="E45" s="1002" t="str">
        <f t="shared" si="2"/>
        <v/>
      </c>
      <c r="F45" s="1002" t="str">
        <f t="shared" si="3"/>
        <v/>
      </c>
      <c r="G45" s="1019" t="str">
        <f t="shared" si="4"/>
        <v/>
      </c>
      <c r="H45" s="123"/>
      <c r="I45" s="123"/>
      <c r="J45" s="185"/>
      <c r="K45" s="139"/>
    </row>
    <row r="46" spans="1:11" ht="15" customHeight="1">
      <c r="A46" s="133"/>
      <c r="B46" s="1017">
        <v>32</v>
      </c>
      <c r="C46" s="1002" t="str">
        <f t="shared" si="0"/>
        <v/>
      </c>
      <c r="D46" s="1002" t="str">
        <f t="shared" si="1"/>
        <v/>
      </c>
      <c r="E46" s="1002" t="str">
        <f t="shared" si="2"/>
        <v/>
      </c>
      <c r="F46" s="1002" t="str">
        <f t="shared" si="3"/>
        <v/>
      </c>
      <c r="G46" s="1019" t="str">
        <f t="shared" si="4"/>
        <v/>
      </c>
      <c r="H46" s="123"/>
      <c r="I46" s="123"/>
      <c r="J46" s="185"/>
      <c r="K46" s="139"/>
    </row>
    <row r="47" spans="1:11" ht="15" customHeight="1">
      <c r="A47" s="133"/>
      <c r="B47" s="1017">
        <v>33</v>
      </c>
      <c r="C47" s="1002" t="str">
        <f t="shared" ref="C47:C78" si="5">IF($F$4&gt;=B47,VLOOKUP(CONCATENATE("portfolio_",$B47),portfolio_p.p,2,0),"")</f>
        <v/>
      </c>
      <c r="D47" s="1002" t="str">
        <f t="shared" ref="D47:D78" si="6">IF($F$4&gt;=B47,VLOOKUP(CONCATENATE("portfolio_",$B47),portfolio_p.p,3,0),"")</f>
        <v/>
      </c>
      <c r="E47" s="1002" t="str">
        <f t="shared" ref="E47:E78" si="7">IF($F$4&gt;=B47,VLOOKUP(CONCATENATE("portfolio_",$B47),portfolio_p.p,4,0),"")</f>
        <v/>
      </c>
      <c r="F47" s="1002" t="str">
        <f t="shared" ref="F47:F78" si="8">IF($F$4&gt;=B47,VLOOKUP(CONCATENATE("portfolio_",$B47),portfolio_p.p,5,0),"")</f>
        <v/>
      </c>
      <c r="G47" s="1019" t="str">
        <f t="shared" ref="G47:G78" si="9">IF($F$4&gt;=B47,VLOOKUP(CONCATENATE("portfolio_",$B47),portfolio_p.p,6,0),"")</f>
        <v/>
      </c>
      <c r="H47" s="123"/>
      <c r="I47" s="123"/>
      <c r="J47" s="185"/>
      <c r="K47" s="139"/>
    </row>
    <row r="48" spans="1:11" ht="15" customHeight="1">
      <c r="A48" s="133"/>
      <c r="B48" s="1017">
        <v>34</v>
      </c>
      <c r="C48" s="1002" t="str">
        <f t="shared" si="5"/>
        <v/>
      </c>
      <c r="D48" s="1002" t="str">
        <f t="shared" si="6"/>
        <v/>
      </c>
      <c r="E48" s="1002" t="str">
        <f t="shared" si="7"/>
        <v/>
      </c>
      <c r="F48" s="1002" t="str">
        <f t="shared" si="8"/>
        <v/>
      </c>
      <c r="G48" s="1019" t="str">
        <f t="shared" si="9"/>
        <v/>
      </c>
      <c r="H48" s="123"/>
      <c r="I48" s="123"/>
      <c r="J48" s="185"/>
      <c r="K48" s="139"/>
    </row>
    <row r="49" spans="1:11" ht="15" customHeight="1">
      <c r="A49" s="133"/>
      <c r="B49" s="1017">
        <v>35</v>
      </c>
      <c r="C49" s="1002" t="str">
        <f t="shared" si="5"/>
        <v/>
      </c>
      <c r="D49" s="1002" t="str">
        <f t="shared" si="6"/>
        <v/>
      </c>
      <c r="E49" s="1002" t="str">
        <f t="shared" si="7"/>
        <v/>
      </c>
      <c r="F49" s="1002" t="str">
        <f t="shared" si="8"/>
        <v/>
      </c>
      <c r="G49" s="1019" t="str">
        <f t="shared" si="9"/>
        <v/>
      </c>
      <c r="H49" s="123"/>
      <c r="I49" s="123"/>
      <c r="J49" s="185"/>
      <c r="K49" s="139"/>
    </row>
    <row r="50" spans="1:11" ht="15" customHeight="1">
      <c r="A50" s="133"/>
      <c r="B50" s="1017">
        <v>36</v>
      </c>
      <c r="C50" s="1002" t="str">
        <f t="shared" si="5"/>
        <v/>
      </c>
      <c r="D50" s="1002" t="str">
        <f t="shared" si="6"/>
        <v/>
      </c>
      <c r="E50" s="1002" t="str">
        <f t="shared" si="7"/>
        <v/>
      </c>
      <c r="F50" s="1002" t="str">
        <f t="shared" si="8"/>
        <v/>
      </c>
      <c r="G50" s="1019" t="str">
        <f t="shared" si="9"/>
        <v/>
      </c>
      <c r="H50" s="123"/>
      <c r="I50" s="123"/>
      <c r="J50" s="185"/>
      <c r="K50" s="139"/>
    </row>
    <row r="51" spans="1:11" ht="15" customHeight="1">
      <c r="A51" s="133"/>
      <c r="B51" s="1017">
        <v>37</v>
      </c>
      <c r="C51" s="1002" t="str">
        <f t="shared" si="5"/>
        <v/>
      </c>
      <c r="D51" s="1002" t="str">
        <f t="shared" si="6"/>
        <v/>
      </c>
      <c r="E51" s="1002" t="str">
        <f t="shared" si="7"/>
        <v/>
      </c>
      <c r="F51" s="1002" t="str">
        <f t="shared" si="8"/>
        <v/>
      </c>
      <c r="G51" s="1019" t="str">
        <f t="shared" si="9"/>
        <v/>
      </c>
      <c r="H51" s="123"/>
      <c r="I51" s="123"/>
      <c r="J51" s="185"/>
      <c r="K51" s="139"/>
    </row>
    <row r="52" spans="1:11" ht="15" customHeight="1">
      <c r="A52" s="133"/>
      <c r="B52" s="1017">
        <v>38</v>
      </c>
      <c r="C52" s="1002" t="str">
        <f t="shared" si="5"/>
        <v/>
      </c>
      <c r="D52" s="1002" t="str">
        <f t="shared" si="6"/>
        <v/>
      </c>
      <c r="E52" s="1002" t="str">
        <f t="shared" si="7"/>
        <v/>
      </c>
      <c r="F52" s="1002" t="str">
        <f t="shared" si="8"/>
        <v/>
      </c>
      <c r="G52" s="1019" t="str">
        <f t="shared" si="9"/>
        <v/>
      </c>
      <c r="H52" s="123"/>
      <c r="I52" s="123"/>
      <c r="J52" s="185"/>
      <c r="K52" s="139"/>
    </row>
    <row r="53" spans="1:11" ht="15" customHeight="1">
      <c r="A53" s="133"/>
      <c r="B53" s="1017">
        <v>39</v>
      </c>
      <c r="C53" s="1002" t="str">
        <f t="shared" si="5"/>
        <v/>
      </c>
      <c r="D53" s="1002" t="str">
        <f t="shared" si="6"/>
        <v/>
      </c>
      <c r="E53" s="1002" t="str">
        <f t="shared" si="7"/>
        <v/>
      </c>
      <c r="F53" s="1002" t="str">
        <f t="shared" si="8"/>
        <v/>
      </c>
      <c r="G53" s="1019" t="str">
        <f t="shared" si="9"/>
        <v/>
      </c>
      <c r="H53" s="123"/>
      <c r="I53" s="123"/>
      <c r="J53" s="185"/>
      <c r="K53" s="139"/>
    </row>
    <row r="54" spans="1:11" ht="15" customHeight="1">
      <c r="A54" s="133"/>
      <c r="B54" s="1017">
        <v>40</v>
      </c>
      <c r="C54" s="1002" t="str">
        <f t="shared" si="5"/>
        <v/>
      </c>
      <c r="D54" s="1002" t="str">
        <f t="shared" si="6"/>
        <v/>
      </c>
      <c r="E54" s="1002" t="str">
        <f t="shared" si="7"/>
        <v/>
      </c>
      <c r="F54" s="1002" t="str">
        <f t="shared" si="8"/>
        <v/>
      </c>
      <c r="G54" s="1019" t="str">
        <f t="shared" si="9"/>
        <v/>
      </c>
      <c r="H54" s="123"/>
      <c r="I54" s="123"/>
      <c r="J54" s="185"/>
      <c r="K54" s="139"/>
    </row>
    <row r="55" spans="1:11" ht="15" customHeight="1">
      <c r="A55" s="133"/>
      <c r="B55" s="1017">
        <v>41</v>
      </c>
      <c r="C55" s="1002" t="str">
        <f t="shared" si="5"/>
        <v/>
      </c>
      <c r="D55" s="1002" t="str">
        <f t="shared" si="6"/>
        <v/>
      </c>
      <c r="E55" s="1002" t="str">
        <f t="shared" si="7"/>
        <v/>
      </c>
      <c r="F55" s="1002" t="str">
        <f t="shared" si="8"/>
        <v/>
      </c>
      <c r="G55" s="1019" t="str">
        <f t="shared" si="9"/>
        <v/>
      </c>
      <c r="H55" s="123"/>
      <c r="I55" s="123"/>
      <c r="J55" s="185"/>
      <c r="K55" s="139"/>
    </row>
    <row r="56" spans="1:11" ht="15" customHeight="1">
      <c r="A56" s="133"/>
      <c r="B56" s="1017">
        <v>42</v>
      </c>
      <c r="C56" s="1002" t="str">
        <f t="shared" si="5"/>
        <v/>
      </c>
      <c r="D56" s="1002" t="str">
        <f t="shared" si="6"/>
        <v/>
      </c>
      <c r="E56" s="1002" t="str">
        <f t="shared" si="7"/>
        <v/>
      </c>
      <c r="F56" s="1002" t="str">
        <f t="shared" si="8"/>
        <v/>
      </c>
      <c r="G56" s="1019" t="str">
        <f t="shared" si="9"/>
        <v/>
      </c>
      <c r="H56" s="123"/>
      <c r="I56" s="123"/>
      <c r="J56" s="185"/>
      <c r="K56" s="139"/>
    </row>
    <row r="57" spans="1:11" ht="15" customHeight="1">
      <c r="A57" s="133"/>
      <c r="B57" s="1017">
        <v>43</v>
      </c>
      <c r="C57" s="1002" t="str">
        <f t="shared" si="5"/>
        <v/>
      </c>
      <c r="D57" s="1002" t="str">
        <f t="shared" si="6"/>
        <v/>
      </c>
      <c r="E57" s="1002" t="str">
        <f t="shared" si="7"/>
        <v/>
      </c>
      <c r="F57" s="1002" t="str">
        <f t="shared" si="8"/>
        <v/>
      </c>
      <c r="G57" s="1019" t="str">
        <f t="shared" si="9"/>
        <v/>
      </c>
      <c r="H57" s="123"/>
      <c r="I57" s="123"/>
      <c r="J57" s="185"/>
      <c r="K57" s="139"/>
    </row>
    <row r="58" spans="1:11" ht="15" customHeight="1">
      <c r="A58" s="133"/>
      <c r="B58" s="1017">
        <v>44</v>
      </c>
      <c r="C58" s="1002" t="str">
        <f t="shared" si="5"/>
        <v/>
      </c>
      <c r="D58" s="1002" t="str">
        <f t="shared" si="6"/>
        <v/>
      </c>
      <c r="E58" s="1002" t="str">
        <f t="shared" si="7"/>
        <v/>
      </c>
      <c r="F58" s="1002" t="str">
        <f t="shared" si="8"/>
        <v/>
      </c>
      <c r="G58" s="1019" t="str">
        <f t="shared" si="9"/>
        <v/>
      </c>
      <c r="H58" s="123"/>
      <c r="I58" s="123"/>
      <c r="J58" s="185"/>
      <c r="K58" s="139"/>
    </row>
    <row r="59" spans="1:11" ht="15" customHeight="1">
      <c r="A59" s="133"/>
      <c r="B59" s="1017">
        <v>45</v>
      </c>
      <c r="C59" s="1002" t="str">
        <f t="shared" si="5"/>
        <v/>
      </c>
      <c r="D59" s="1002" t="str">
        <f t="shared" si="6"/>
        <v/>
      </c>
      <c r="E59" s="1002" t="str">
        <f t="shared" si="7"/>
        <v/>
      </c>
      <c r="F59" s="1002" t="str">
        <f t="shared" si="8"/>
        <v/>
      </c>
      <c r="G59" s="1019" t="str">
        <f t="shared" si="9"/>
        <v/>
      </c>
      <c r="H59" s="123"/>
      <c r="I59" s="123"/>
      <c r="J59" s="185"/>
      <c r="K59" s="139"/>
    </row>
    <row r="60" spans="1:11" ht="15" customHeight="1">
      <c r="A60" s="133"/>
      <c r="B60" s="1017">
        <v>46</v>
      </c>
      <c r="C60" s="1002" t="str">
        <f t="shared" si="5"/>
        <v/>
      </c>
      <c r="D60" s="1002" t="str">
        <f t="shared" si="6"/>
        <v/>
      </c>
      <c r="E60" s="1002" t="str">
        <f t="shared" si="7"/>
        <v/>
      </c>
      <c r="F60" s="1002" t="str">
        <f t="shared" si="8"/>
        <v/>
      </c>
      <c r="G60" s="1019" t="str">
        <f t="shared" si="9"/>
        <v/>
      </c>
      <c r="H60" s="123"/>
      <c r="I60" s="123"/>
      <c r="J60" s="123"/>
      <c r="K60" s="139"/>
    </row>
    <row r="61" spans="1:11" ht="15" customHeight="1">
      <c r="A61" s="133"/>
      <c r="B61" s="1017">
        <v>47</v>
      </c>
      <c r="C61" s="1002" t="str">
        <f t="shared" si="5"/>
        <v/>
      </c>
      <c r="D61" s="1002" t="str">
        <f t="shared" si="6"/>
        <v/>
      </c>
      <c r="E61" s="1002" t="str">
        <f t="shared" si="7"/>
        <v/>
      </c>
      <c r="F61" s="1002" t="str">
        <f t="shared" si="8"/>
        <v/>
      </c>
      <c r="G61" s="1019" t="str">
        <f t="shared" si="9"/>
        <v/>
      </c>
      <c r="H61" s="123"/>
      <c r="I61" s="123"/>
      <c r="J61" s="123"/>
      <c r="K61" s="139"/>
    </row>
    <row r="62" spans="1:11" ht="15" customHeight="1">
      <c r="A62" s="133"/>
      <c r="B62" s="1017">
        <v>48</v>
      </c>
      <c r="C62" s="1002" t="str">
        <f t="shared" si="5"/>
        <v/>
      </c>
      <c r="D62" s="1002" t="str">
        <f t="shared" si="6"/>
        <v/>
      </c>
      <c r="E62" s="1002" t="str">
        <f t="shared" si="7"/>
        <v/>
      </c>
      <c r="F62" s="1002" t="str">
        <f t="shared" si="8"/>
        <v/>
      </c>
      <c r="G62" s="1019" t="str">
        <f t="shared" si="9"/>
        <v/>
      </c>
      <c r="H62" s="123"/>
      <c r="I62" s="123"/>
      <c r="J62" s="123"/>
      <c r="K62" s="139"/>
    </row>
    <row r="63" spans="1:11" ht="15" customHeight="1">
      <c r="A63" s="133"/>
      <c r="B63" s="1017">
        <v>49</v>
      </c>
      <c r="C63" s="1002" t="str">
        <f t="shared" si="5"/>
        <v/>
      </c>
      <c r="D63" s="1002" t="str">
        <f t="shared" si="6"/>
        <v/>
      </c>
      <c r="E63" s="1002" t="str">
        <f t="shared" si="7"/>
        <v/>
      </c>
      <c r="F63" s="1002" t="str">
        <f t="shared" si="8"/>
        <v/>
      </c>
      <c r="G63" s="1019" t="str">
        <f t="shared" si="9"/>
        <v/>
      </c>
      <c r="H63" s="123"/>
      <c r="I63" s="123"/>
      <c r="J63" s="123"/>
      <c r="K63" s="139"/>
    </row>
    <row r="64" spans="1:11" ht="15" customHeight="1">
      <c r="A64" s="133"/>
      <c r="B64" s="1017">
        <v>50</v>
      </c>
      <c r="C64" s="1002" t="str">
        <f t="shared" si="5"/>
        <v/>
      </c>
      <c r="D64" s="1002" t="str">
        <f t="shared" si="6"/>
        <v/>
      </c>
      <c r="E64" s="1002" t="str">
        <f t="shared" si="7"/>
        <v/>
      </c>
      <c r="F64" s="1002" t="str">
        <f t="shared" si="8"/>
        <v/>
      </c>
      <c r="G64" s="1019" t="str">
        <f t="shared" si="9"/>
        <v/>
      </c>
      <c r="H64" s="123"/>
      <c r="I64" s="123"/>
      <c r="J64" s="123"/>
      <c r="K64" s="139"/>
    </row>
    <row r="65" spans="1:11" ht="15" customHeight="1">
      <c r="A65" s="133"/>
      <c r="B65" s="1017">
        <v>51</v>
      </c>
      <c r="C65" s="1002" t="str">
        <f t="shared" si="5"/>
        <v/>
      </c>
      <c r="D65" s="1002" t="str">
        <f t="shared" si="6"/>
        <v/>
      </c>
      <c r="E65" s="1002" t="str">
        <f t="shared" si="7"/>
        <v/>
      </c>
      <c r="F65" s="1002" t="str">
        <f t="shared" si="8"/>
        <v/>
      </c>
      <c r="G65" s="1019" t="str">
        <f t="shared" si="9"/>
        <v/>
      </c>
      <c r="H65" s="123"/>
      <c r="I65" s="123"/>
      <c r="J65" s="123"/>
      <c r="K65" s="139"/>
    </row>
    <row r="66" spans="1:11" ht="15" customHeight="1">
      <c r="A66" s="133"/>
      <c r="B66" s="1017">
        <v>52</v>
      </c>
      <c r="C66" s="1002" t="str">
        <f t="shared" si="5"/>
        <v/>
      </c>
      <c r="D66" s="1002" t="str">
        <f t="shared" si="6"/>
        <v/>
      </c>
      <c r="E66" s="1002" t="str">
        <f t="shared" si="7"/>
        <v/>
      </c>
      <c r="F66" s="1002" t="str">
        <f t="shared" si="8"/>
        <v/>
      </c>
      <c r="G66" s="1019" t="str">
        <f t="shared" si="9"/>
        <v/>
      </c>
      <c r="H66" s="123"/>
      <c r="I66" s="123"/>
      <c r="J66" s="123"/>
      <c r="K66" s="139"/>
    </row>
    <row r="67" spans="1:11" ht="15" customHeight="1">
      <c r="A67" s="133"/>
      <c r="B67" s="1017">
        <v>53</v>
      </c>
      <c r="C67" s="1002" t="str">
        <f t="shared" si="5"/>
        <v/>
      </c>
      <c r="D67" s="1002" t="str">
        <f t="shared" si="6"/>
        <v/>
      </c>
      <c r="E67" s="1002" t="str">
        <f t="shared" si="7"/>
        <v/>
      </c>
      <c r="F67" s="1002" t="str">
        <f t="shared" si="8"/>
        <v/>
      </c>
      <c r="G67" s="1019" t="str">
        <f t="shared" si="9"/>
        <v/>
      </c>
      <c r="H67" s="123"/>
      <c r="I67" s="123"/>
      <c r="J67" s="123"/>
      <c r="K67" s="139"/>
    </row>
    <row r="68" spans="1:11" ht="15" customHeight="1">
      <c r="A68" s="133"/>
      <c r="B68" s="1017">
        <v>54</v>
      </c>
      <c r="C68" s="1002" t="str">
        <f t="shared" si="5"/>
        <v/>
      </c>
      <c r="D68" s="1002" t="str">
        <f t="shared" si="6"/>
        <v/>
      </c>
      <c r="E68" s="1002" t="str">
        <f t="shared" si="7"/>
        <v/>
      </c>
      <c r="F68" s="1002" t="str">
        <f t="shared" si="8"/>
        <v/>
      </c>
      <c r="G68" s="1019" t="str">
        <f t="shared" si="9"/>
        <v/>
      </c>
      <c r="H68" s="123"/>
      <c r="I68" s="123"/>
      <c r="J68" s="123"/>
      <c r="K68" s="139"/>
    </row>
    <row r="69" spans="1:11" ht="15" customHeight="1">
      <c r="A69" s="133"/>
      <c r="B69" s="1017">
        <v>55</v>
      </c>
      <c r="C69" s="1002" t="str">
        <f t="shared" si="5"/>
        <v/>
      </c>
      <c r="D69" s="1002" t="str">
        <f t="shared" si="6"/>
        <v/>
      </c>
      <c r="E69" s="1002" t="str">
        <f t="shared" si="7"/>
        <v/>
      </c>
      <c r="F69" s="1002" t="str">
        <f t="shared" si="8"/>
        <v/>
      </c>
      <c r="G69" s="1019" t="str">
        <f t="shared" si="9"/>
        <v/>
      </c>
      <c r="H69" s="123"/>
      <c r="I69" s="123"/>
      <c r="J69" s="123"/>
      <c r="K69" s="139"/>
    </row>
    <row r="70" spans="1:11" ht="15" customHeight="1">
      <c r="A70" s="133"/>
      <c r="B70" s="1017">
        <v>56</v>
      </c>
      <c r="C70" s="1002" t="str">
        <f t="shared" si="5"/>
        <v/>
      </c>
      <c r="D70" s="1002" t="str">
        <f t="shared" si="6"/>
        <v/>
      </c>
      <c r="E70" s="1002" t="str">
        <f t="shared" si="7"/>
        <v/>
      </c>
      <c r="F70" s="1002" t="str">
        <f t="shared" si="8"/>
        <v/>
      </c>
      <c r="G70" s="1019" t="str">
        <f t="shared" si="9"/>
        <v/>
      </c>
      <c r="H70" s="123"/>
      <c r="I70" s="123"/>
      <c r="J70" s="123"/>
      <c r="K70" s="139"/>
    </row>
    <row r="71" spans="1:11" ht="15" customHeight="1">
      <c r="A71" s="133"/>
      <c r="B71" s="1017">
        <v>57</v>
      </c>
      <c r="C71" s="1002" t="str">
        <f t="shared" si="5"/>
        <v/>
      </c>
      <c r="D71" s="1002" t="str">
        <f t="shared" si="6"/>
        <v/>
      </c>
      <c r="E71" s="1002" t="str">
        <f t="shared" si="7"/>
        <v/>
      </c>
      <c r="F71" s="1002" t="str">
        <f t="shared" si="8"/>
        <v/>
      </c>
      <c r="G71" s="1019" t="str">
        <f t="shared" si="9"/>
        <v/>
      </c>
      <c r="H71" s="123"/>
      <c r="I71" s="123"/>
      <c r="J71" s="123"/>
      <c r="K71" s="139"/>
    </row>
    <row r="72" spans="1:11" ht="15" customHeight="1">
      <c r="A72" s="133"/>
      <c r="B72" s="1017">
        <v>58</v>
      </c>
      <c r="C72" s="1002" t="str">
        <f t="shared" si="5"/>
        <v/>
      </c>
      <c r="D72" s="1002" t="str">
        <f t="shared" si="6"/>
        <v/>
      </c>
      <c r="E72" s="1002" t="str">
        <f t="shared" si="7"/>
        <v/>
      </c>
      <c r="F72" s="1002" t="str">
        <f t="shared" si="8"/>
        <v/>
      </c>
      <c r="G72" s="1019" t="str">
        <f t="shared" si="9"/>
        <v/>
      </c>
      <c r="H72" s="123"/>
      <c r="I72" s="123"/>
      <c r="J72" s="123"/>
      <c r="K72" s="139"/>
    </row>
    <row r="73" spans="1:11" ht="15" customHeight="1">
      <c r="A73" s="133"/>
      <c r="B73" s="1017">
        <v>59</v>
      </c>
      <c r="C73" s="1002" t="str">
        <f t="shared" si="5"/>
        <v/>
      </c>
      <c r="D73" s="1002" t="str">
        <f t="shared" si="6"/>
        <v/>
      </c>
      <c r="E73" s="1002" t="str">
        <f t="shared" si="7"/>
        <v/>
      </c>
      <c r="F73" s="1002" t="str">
        <f t="shared" si="8"/>
        <v/>
      </c>
      <c r="G73" s="1019" t="str">
        <f t="shared" si="9"/>
        <v/>
      </c>
      <c r="H73" s="123"/>
      <c r="I73" s="123"/>
      <c r="J73" s="123"/>
      <c r="K73" s="139"/>
    </row>
    <row r="74" spans="1:11" ht="15" customHeight="1">
      <c r="A74" s="133"/>
      <c r="B74" s="1017">
        <v>60</v>
      </c>
      <c r="C74" s="1002" t="str">
        <f t="shared" si="5"/>
        <v/>
      </c>
      <c r="D74" s="1002" t="str">
        <f t="shared" si="6"/>
        <v/>
      </c>
      <c r="E74" s="1002" t="str">
        <f t="shared" si="7"/>
        <v/>
      </c>
      <c r="F74" s="1002" t="str">
        <f t="shared" si="8"/>
        <v/>
      </c>
      <c r="G74" s="1019" t="str">
        <f t="shared" si="9"/>
        <v/>
      </c>
      <c r="H74" s="123"/>
      <c r="I74" s="123"/>
      <c r="J74" s="123"/>
      <c r="K74" s="139"/>
    </row>
    <row r="75" spans="1:11" ht="15" customHeight="1">
      <c r="A75" s="133"/>
      <c r="B75" s="1017">
        <v>61</v>
      </c>
      <c r="C75" s="1002" t="str">
        <f t="shared" si="5"/>
        <v/>
      </c>
      <c r="D75" s="1002" t="str">
        <f t="shared" si="6"/>
        <v/>
      </c>
      <c r="E75" s="1002" t="str">
        <f t="shared" si="7"/>
        <v/>
      </c>
      <c r="F75" s="1002" t="str">
        <f t="shared" si="8"/>
        <v/>
      </c>
      <c r="G75" s="1019" t="str">
        <f t="shared" si="9"/>
        <v/>
      </c>
      <c r="H75" s="123"/>
      <c r="I75" s="123"/>
      <c r="J75" s="123"/>
      <c r="K75" s="139"/>
    </row>
    <row r="76" spans="1:11" ht="15" customHeight="1">
      <c r="A76" s="133"/>
      <c r="B76" s="1017">
        <v>62</v>
      </c>
      <c r="C76" s="1002" t="str">
        <f t="shared" si="5"/>
        <v/>
      </c>
      <c r="D76" s="1002" t="str">
        <f t="shared" si="6"/>
        <v/>
      </c>
      <c r="E76" s="1002" t="str">
        <f t="shared" si="7"/>
        <v/>
      </c>
      <c r="F76" s="1002" t="str">
        <f t="shared" si="8"/>
        <v/>
      </c>
      <c r="G76" s="1019" t="str">
        <f t="shared" si="9"/>
        <v/>
      </c>
      <c r="H76" s="123"/>
      <c r="I76" s="123"/>
      <c r="J76" s="123"/>
      <c r="K76" s="139"/>
    </row>
    <row r="77" spans="1:11" ht="15" customHeight="1">
      <c r="A77" s="133"/>
      <c r="B77" s="1017">
        <v>63</v>
      </c>
      <c r="C77" s="1002" t="str">
        <f t="shared" si="5"/>
        <v/>
      </c>
      <c r="D77" s="1002" t="str">
        <f t="shared" si="6"/>
        <v/>
      </c>
      <c r="E77" s="1002" t="str">
        <f t="shared" si="7"/>
        <v/>
      </c>
      <c r="F77" s="1002" t="str">
        <f t="shared" si="8"/>
        <v/>
      </c>
      <c r="G77" s="1019" t="str">
        <f t="shared" si="9"/>
        <v/>
      </c>
      <c r="H77" s="123"/>
      <c r="I77" s="123"/>
      <c r="J77" s="123"/>
      <c r="K77" s="139"/>
    </row>
    <row r="78" spans="1:11" ht="15" customHeight="1">
      <c r="A78" s="133"/>
      <c r="B78" s="1017">
        <v>64</v>
      </c>
      <c r="C78" s="1002" t="str">
        <f t="shared" si="5"/>
        <v/>
      </c>
      <c r="D78" s="1002" t="str">
        <f t="shared" si="6"/>
        <v/>
      </c>
      <c r="E78" s="1002" t="str">
        <f t="shared" si="7"/>
        <v/>
      </c>
      <c r="F78" s="1002" t="str">
        <f t="shared" si="8"/>
        <v/>
      </c>
      <c r="G78" s="1019" t="str">
        <f t="shared" si="9"/>
        <v/>
      </c>
      <c r="H78" s="123"/>
      <c r="I78" s="123"/>
      <c r="J78" s="123"/>
      <c r="K78" s="139"/>
    </row>
    <row r="79" spans="1:11" ht="15" customHeight="1">
      <c r="A79" s="133"/>
      <c r="B79" s="1017">
        <v>65</v>
      </c>
      <c r="C79" s="1002" t="str">
        <f t="shared" ref="C79:C94" si="10">IF($F$4&gt;=B79,VLOOKUP(CONCATENATE("portfolio_",$B79),portfolio_p.p,2,0),"")</f>
        <v/>
      </c>
      <c r="D79" s="1002" t="str">
        <f t="shared" ref="D79:D94" si="11">IF($F$4&gt;=B79,VLOOKUP(CONCATENATE("portfolio_",$B79),portfolio_p.p,3,0),"")</f>
        <v/>
      </c>
      <c r="E79" s="1002" t="str">
        <f t="shared" ref="E79:E94" si="12">IF($F$4&gt;=B79,VLOOKUP(CONCATENATE("portfolio_",$B79),portfolio_p.p,4,0),"")</f>
        <v/>
      </c>
      <c r="F79" s="1002" t="str">
        <f t="shared" ref="F79:F94" si="13">IF($F$4&gt;=B79,VLOOKUP(CONCATENATE("portfolio_",$B79),portfolio_p.p,5,0),"")</f>
        <v/>
      </c>
      <c r="G79" s="1019" t="str">
        <f t="shared" ref="G79:G94" si="14">IF($F$4&gt;=B79,VLOOKUP(CONCATENATE("portfolio_",$B79),portfolio_p.p,6,0),"")</f>
        <v/>
      </c>
      <c r="H79" s="123"/>
      <c r="I79" s="123"/>
      <c r="J79" s="123"/>
      <c r="K79" s="139"/>
    </row>
    <row r="80" spans="1:11" ht="15" customHeight="1">
      <c r="A80" s="133"/>
      <c r="B80" s="1017">
        <v>66</v>
      </c>
      <c r="C80" s="1002" t="str">
        <f t="shared" si="10"/>
        <v/>
      </c>
      <c r="D80" s="1002" t="str">
        <f t="shared" si="11"/>
        <v/>
      </c>
      <c r="E80" s="1002" t="str">
        <f t="shared" si="12"/>
        <v/>
      </c>
      <c r="F80" s="1002" t="str">
        <f t="shared" si="13"/>
        <v/>
      </c>
      <c r="G80" s="1019" t="str">
        <f t="shared" si="14"/>
        <v/>
      </c>
      <c r="H80" s="123"/>
      <c r="I80" s="123"/>
      <c r="J80" s="123"/>
      <c r="K80" s="139"/>
    </row>
    <row r="81" spans="1:11" ht="15" customHeight="1">
      <c r="A81" s="133"/>
      <c r="B81" s="1017">
        <v>67</v>
      </c>
      <c r="C81" s="1002" t="str">
        <f t="shared" si="10"/>
        <v/>
      </c>
      <c r="D81" s="1002" t="str">
        <f t="shared" si="11"/>
        <v/>
      </c>
      <c r="E81" s="1002" t="str">
        <f t="shared" si="12"/>
        <v/>
      </c>
      <c r="F81" s="1002" t="str">
        <f t="shared" si="13"/>
        <v/>
      </c>
      <c r="G81" s="1019" t="str">
        <f t="shared" si="14"/>
        <v/>
      </c>
      <c r="H81" s="123"/>
      <c r="I81" s="123"/>
      <c r="J81" s="123"/>
      <c r="K81" s="139"/>
    </row>
    <row r="82" spans="1:11" ht="15" customHeight="1">
      <c r="A82" s="133"/>
      <c r="B82" s="1017">
        <v>68</v>
      </c>
      <c r="C82" s="1002" t="str">
        <f t="shared" si="10"/>
        <v/>
      </c>
      <c r="D82" s="1002" t="str">
        <f t="shared" si="11"/>
        <v/>
      </c>
      <c r="E82" s="1002" t="str">
        <f t="shared" si="12"/>
        <v/>
      </c>
      <c r="F82" s="1002" t="str">
        <f t="shared" si="13"/>
        <v/>
      </c>
      <c r="G82" s="1019" t="str">
        <f t="shared" si="14"/>
        <v/>
      </c>
      <c r="H82" s="123"/>
      <c r="I82" s="123"/>
      <c r="J82" s="123"/>
      <c r="K82" s="139"/>
    </row>
    <row r="83" spans="1:11" ht="15" customHeight="1">
      <c r="A83" s="133"/>
      <c r="B83" s="1017">
        <v>69</v>
      </c>
      <c r="C83" s="1002" t="str">
        <f t="shared" si="10"/>
        <v/>
      </c>
      <c r="D83" s="1002" t="str">
        <f t="shared" si="11"/>
        <v/>
      </c>
      <c r="E83" s="1002" t="str">
        <f t="shared" si="12"/>
        <v/>
      </c>
      <c r="F83" s="1002" t="str">
        <f t="shared" si="13"/>
        <v/>
      </c>
      <c r="G83" s="1019" t="str">
        <f t="shared" si="14"/>
        <v/>
      </c>
      <c r="H83" s="123"/>
      <c r="I83" s="123"/>
      <c r="J83" s="123"/>
      <c r="K83" s="139"/>
    </row>
    <row r="84" spans="1:11" ht="15" customHeight="1">
      <c r="A84" s="133"/>
      <c r="B84" s="1017">
        <v>70</v>
      </c>
      <c r="C84" s="1002" t="str">
        <f t="shared" si="10"/>
        <v/>
      </c>
      <c r="D84" s="1002" t="str">
        <f t="shared" si="11"/>
        <v/>
      </c>
      <c r="E84" s="1002" t="str">
        <f t="shared" si="12"/>
        <v/>
      </c>
      <c r="F84" s="1002" t="str">
        <f t="shared" si="13"/>
        <v/>
      </c>
      <c r="G84" s="1019" t="str">
        <f t="shared" si="14"/>
        <v/>
      </c>
      <c r="H84" s="123"/>
      <c r="I84" s="123"/>
      <c r="J84" s="123"/>
      <c r="K84" s="139"/>
    </row>
    <row r="85" spans="1:11" ht="15" customHeight="1">
      <c r="A85" s="133"/>
      <c r="B85" s="1017">
        <v>71</v>
      </c>
      <c r="C85" s="1002" t="str">
        <f t="shared" si="10"/>
        <v/>
      </c>
      <c r="D85" s="1002" t="str">
        <f t="shared" si="11"/>
        <v/>
      </c>
      <c r="E85" s="1002" t="str">
        <f t="shared" si="12"/>
        <v/>
      </c>
      <c r="F85" s="1002" t="str">
        <f t="shared" si="13"/>
        <v/>
      </c>
      <c r="G85" s="1019" t="str">
        <f t="shared" si="14"/>
        <v/>
      </c>
      <c r="H85" s="123"/>
      <c r="I85" s="123"/>
      <c r="J85" s="123"/>
      <c r="K85" s="139"/>
    </row>
    <row r="86" spans="1:11" ht="15" customHeight="1">
      <c r="A86" s="133"/>
      <c r="B86" s="1017">
        <v>72</v>
      </c>
      <c r="C86" s="1002" t="str">
        <f t="shared" si="10"/>
        <v/>
      </c>
      <c r="D86" s="1002" t="str">
        <f t="shared" si="11"/>
        <v/>
      </c>
      <c r="E86" s="1002" t="str">
        <f t="shared" si="12"/>
        <v/>
      </c>
      <c r="F86" s="1002" t="str">
        <f t="shared" si="13"/>
        <v/>
      </c>
      <c r="G86" s="1019" t="str">
        <f t="shared" si="14"/>
        <v/>
      </c>
      <c r="H86" s="123"/>
      <c r="I86" s="123"/>
      <c r="J86" s="123"/>
      <c r="K86" s="139"/>
    </row>
    <row r="87" spans="1:11" ht="15" customHeight="1">
      <c r="A87" s="133"/>
      <c r="B87" s="1017">
        <v>73</v>
      </c>
      <c r="C87" s="1002" t="str">
        <f t="shared" si="10"/>
        <v/>
      </c>
      <c r="D87" s="1002" t="str">
        <f t="shared" si="11"/>
        <v/>
      </c>
      <c r="E87" s="1002" t="str">
        <f t="shared" si="12"/>
        <v/>
      </c>
      <c r="F87" s="1002" t="str">
        <f t="shared" si="13"/>
        <v/>
      </c>
      <c r="G87" s="1019" t="str">
        <f t="shared" si="14"/>
        <v/>
      </c>
      <c r="H87" s="123"/>
      <c r="I87" s="123"/>
      <c r="J87" s="123"/>
      <c r="K87" s="139"/>
    </row>
    <row r="88" spans="1:11" ht="15" customHeight="1">
      <c r="A88" s="133"/>
      <c r="B88" s="1017">
        <v>74</v>
      </c>
      <c r="C88" s="1002" t="str">
        <f t="shared" si="10"/>
        <v/>
      </c>
      <c r="D88" s="1002" t="str">
        <f t="shared" si="11"/>
        <v/>
      </c>
      <c r="E88" s="1002" t="str">
        <f t="shared" si="12"/>
        <v/>
      </c>
      <c r="F88" s="1002" t="str">
        <f t="shared" si="13"/>
        <v/>
      </c>
      <c r="G88" s="1019" t="str">
        <f t="shared" si="14"/>
        <v/>
      </c>
      <c r="H88" s="123"/>
      <c r="I88" s="123"/>
      <c r="J88" s="123"/>
      <c r="K88" s="139"/>
    </row>
    <row r="89" spans="1:11" ht="15" customHeight="1">
      <c r="A89" s="133"/>
      <c r="B89" s="1017">
        <v>75</v>
      </c>
      <c r="C89" s="1002" t="str">
        <f t="shared" si="10"/>
        <v/>
      </c>
      <c r="D89" s="1002" t="str">
        <f t="shared" si="11"/>
        <v/>
      </c>
      <c r="E89" s="1002" t="str">
        <f t="shared" si="12"/>
        <v/>
      </c>
      <c r="F89" s="1002" t="str">
        <f t="shared" si="13"/>
        <v/>
      </c>
      <c r="G89" s="1019" t="str">
        <f t="shared" si="14"/>
        <v/>
      </c>
      <c r="H89" s="123"/>
      <c r="I89" s="123"/>
      <c r="J89" s="123"/>
      <c r="K89" s="139"/>
    </row>
    <row r="90" spans="1:11" ht="15" customHeight="1">
      <c r="A90" s="133"/>
      <c r="B90" s="1017">
        <v>76</v>
      </c>
      <c r="C90" s="1002" t="str">
        <f t="shared" si="10"/>
        <v/>
      </c>
      <c r="D90" s="1002" t="str">
        <f t="shared" si="11"/>
        <v/>
      </c>
      <c r="E90" s="1002" t="str">
        <f t="shared" si="12"/>
        <v/>
      </c>
      <c r="F90" s="1002" t="str">
        <f t="shared" si="13"/>
        <v/>
      </c>
      <c r="G90" s="1019" t="str">
        <f t="shared" si="14"/>
        <v/>
      </c>
      <c r="H90" s="123"/>
      <c r="I90" s="123"/>
      <c r="J90" s="123"/>
      <c r="K90" s="139"/>
    </row>
    <row r="91" spans="1:11" ht="15" customHeight="1">
      <c r="A91" s="133"/>
      <c r="B91" s="1017">
        <v>77</v>
      </c>
      <c r="C91" s="1002" t="str">
        <f t="shared" si="10"/>
        <v/>
      </c>
      <c r="D91" s="1002" t="str">
        <f t="shared" si="11"/>
        <v/>
      </c>
      <c r="E91" s="1002" t="str">
        <f t="shared" si="12"/>
        <v/>
      </c>
      <c r="F91" s="1002" t="str">
        <f t="shared" si="13"/>
        <v/>
      </c>
      <c r="G91" s="1019" t="str">
        <f t="shared" si="14"/>
        <v/>
      </c>
      <c r="H91" s="123"/>
      <c r="I91" s="123"/>
      <c r="J91" s="123"/>
      <c r="K91" s="139"/>
    </row>
    <row r="92" spans="1:11" ht="15" customHeight="1">
      <c r="A92" s="133"/>
      <c r="B92" s="1017">
        <v>78</v>
      </c>
      <c r="C92" s="1002" t="str">
        <f t="shared" si="10"/>
        <v/>
      </c>
      <c r="D92" s="1002" t="str">
        <f t="shared" si="11"/>
        <v/>
      </c>
      <c r="E92" s="1002" t="str">
        <f t="shared" si="12"/>
        <v/>
      </c>
      <c r="F92" s="1002" t="str">
        <f t="shared" si="13"/>
        <v/>
      </c>
      <c r="G92" s="1019" t="str">
        <f t="shared" si="14"/>
        <v/>
      </c>
      <c r="H92" s="123"/>
      <c r="I92" s="123"/>
      <c r="J92" s="123"/>
      <c r="K92" s="139"/>
    </row>
    <row r="93" spans="1:11" ht="15" customHeight="1">
      <c r="A93" s="133"/>
      <c r="B93" s="1017">
        <v>79</v>
      </c>
      <c r="C93" s="1002" t="str">
        <f t="shared" si="10"/>
        <v/>
      </c>
      <c r="D93" s="1002" t="str">
        <f t="shared" si="11"/>
        <v/>
      </c>
      <c r="E93" s="1002" t="str">
        <f t="shared" si="12"/>
        <v/>
      </c>
      <c r="F93" s="1002" t="str">
        <f t="shared" si="13"/>
        <v/>
      </c>
      <c r="G93" s="1019" t="str">
        <f t="shared" si="14"/>
        <v/>
      </c>
      <c r="H93" s="123"/>
      <c r="I93" s="123"/>
      <c r="J93" s="123"/>
      <c r="K93" s="139"/>
    </row>
    <row r="94" spans="1:11" ht="15" customHeight="1">
      <c r="A94" s="133"/>
      <c r="B94" s="1020">
        <v>80</v>
      </c>
      <c r="C94" s="1021" t="str">
        <f t="shared" si="10"/>
        <v/>
      </c>
      <c r="D94" s="1021" t="str">
        <f t="shared" si="11"/>
        <v/>
      </c>
      <c r="E94" s="1021" t="str">
        <f t="shared" si="12"/>
        <v/>
      </c>
      <c r="F94" s="1021" t="str">
        <f t="shared" si="13"/>
        <v/>
      </c>
      <c r="G94" s="1022" t="str">
        <f t="shared" si="14"/>
        <v/>
      </c>
      <c r="H94" s="123"/>
      <c r="I94" s="123"/>
      <c r="J94" s="123"/>
      <c r="K94" s="139"/>
    </row>
    <row r="95" spans="1:11" ht="15" customHeight="1">
      <c r="A95" s="133"/>
      <c r="B95" s="123"/>
      <c r="C95" s="123"/>
      <c r="D95" s="123"/>
      <c r="E95" s="123"/>
      <c r="F95" s="123"/>
      <c r="G95" s="123"/>
      <c r="H95" s="123"/>
      <c r="I95" s="123"/>
      <c r="J95" s="123"/>
      <c r="K95" s="139"/>
    </row>
    <row r="96" spans="1:11" ht="15" customHeight="1">
      <c r="A96" s="133"/>
      <c r="B96" s="123"/>
      <c r="C96" s="123"/>
      <c r="D96" s="123"/>
      <c r="E96" s="123"/>
      <c r="F96" s="123"/>
      <c r="G96" s="123"/>
      <c r="H96" s="123"/>
      <c r="I96" s="123"/>
      <c r="J96" s="123"/>
      <c r="K96" s="139"/>
    </row>
    <row r="97" spans="1:11" ht="15" customHeight="1">
      <c r="A97" s="173"/>
      <c r="B97" s="175"/>
      <c r="C97" s="175"/>
      <c r="D97" s="175"/>
      <c r="E97" s="175"/>
      <c r="F97" s="175"/>
      <c r="G97" s="175"/>
      <c r="H97" s="175"/>
      <c r="I97" s="175"/>
      <c r="J97" s="175"/>
      <c r="K97" s="176"/>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833</v>
      </c>
      <c r="B1" t="s">
        <v>827</v>
      </c>
      <c r="C1" t="s">
        <v>841</v>
      </c>
      <c r="D1" t="s">
        <v>396</v>
      </c>
      <c r="E1" t="s">
        <v>842</v>
      </c>
      <c r="F1" t="s">
        <v>843</v>
      </c>
      <c r="G1" t="s">
        <v>838</v>
      </c>
      <c r="H1" t="s">
        <v>839</v>
      </c>
      <c r="I1" t="s">
        <v>840</v>
      </c>
      <c r="J1" t="s">
        <v>844</v>
      </c>
      <c r="K1" t="s">
        <v>845</v>
      </c>
    </row>
    <row r="2" spans="1:11">
      <c r="A2">
        <v>44</v>
      </c>
      <c r="B2" t="s">
        <v>846</v>
      </c>
      <c r="C2" s="532">
        <v>799999981.55999994</v>
      </c>
      <c r="D2" s="532">
        <v>0</v>
      </c>
      <c r="E2" s="532">
        <v>0</v>
      </c>
      <c r="F2" s="532">
        <v>0</v>
      </c>
      <c r="G2" s="532">
        <v>0</v>
      </c>
      <c r="H2" s="532">
        <v>0</v>
      </c>
      <c r="I2" s="532">
        <v>0</v>
      </c>
      <c r="J2" s="532">
        <v>0</v>
      </c>
      <c r="K2" s="532">
        <v>0</v>
      </c>
    </row>
    <row r="3" spans="1:11">
      <c r="A3">
        <v>44</v>
      </c>
      <c r="B3" t="s">
        <v>847</v>
      </c>
      <c r="C3" s="532">
        <v>799999981.55999994</v>
      </c>
      <c r="D3" s="532">
        <v>300686.15999999997</v>
      </c>
      <c r="E3" s="532">
        <v>1480295.14</v>
      </c>
      <c r="F3" s="532">
        <v>1104548.6499999999</v>
      </c>
      <c r="G3" s="532">
        <v>30223.25</v>
      </c>
      <c r="H3" s="532">
        <v>5680.06</v>
      </c>
      <c r="I3" s="532">
        <v>30153.86</v>
      </c>
      <c r="J3" s="532">
        <v>25105.79</v>
      </c>
      <c r="K3" s="532">
        <v>1330.56</v>
      </c>
    </row>
    <row r="4" spans="1:11">
      <c r="A4">
        <v>44</v>
      </c>
      <c r="B4" t="s">
        <v>848</v>
      </c>
      <c r="C4" s="532">
        <v>799999941.96000004</v>
      </c>
      <c r="D4" s="532">
        <v>1500995.62</v>
      </c>
      <c r="E4" s="532">
        <v>1592449.73</v>
      </c>
      <c r="F4" s="532">
        <v>535431.57999999996</v>
      </c>
      <c r="G4" s="532">
        <v>967777.77</v>
      </c>
      <c r="H4" s="532">
        <v>28079.95</v>
      </c>
      <c r="I4" s="532">
        <v>41749.699999999997</v>
      </c>
      <c r="J4" s="532">
        <v>16551.18</v>
      </c>
      <c r="K4" s="532">
        <v>40489.26</v>
      </c>
    </row>
    <row r="5" spans="1:11">
      <c r="A5">
        <v>44</v>
      </c>
      <c r="B5" t="s">
        <v>849</v>
      </c>
      <c r="C5" s="532">
        <v>799999971.15999997</v>
      </c>
      <c r="D5" s="532">
        <v>654632.57999999996</v>
      </c>
      <c r="E5" s="532">
        <v>1880033.26</v>
      </c>
      <c r="F5" s="532">
        <v>2290342.96</v>
      </c>
      <c r="G5" s="532">
        <v>2123217.06</v>
      </c>
      <c r="H5" s="532">
        <v>12872.29</v>
      </c>
      <c r="I5" s="532">
        <v>35768.639999999999</v>
      </c>
      <c r="J5" s="532">
        <v>61874.1</v>
      </c>
      <c r="K5" s="532">
        <v>95840.68</v>
      </c>
    </row>
    <row r="6" spans="1:11">
      <c r="A6">
        <v>44</v>
      </c>
      <c r="B6" t="s">
        <v>850</v>
      </c>
      <c r="C6" s="532">
        <v>799999965.69000006</v>
      </c>
      <c r="D6" s="532">
        <v>2088424.78</v>
      </c>
      <c r="E6" s="532">
        <v>1048972.3500000001</v>
      </c>
      <c r="F6" s="532">
        <v>2036381.93</v>
      </c>
      <c r="G6" s="532">
        <v>3247767.98</v>
      </c>
      <c r="H6" s="532">
        <v>42798.09</v>
      </c>
      <c r="I6" s="532">
        <v>26775.200000000001</v>
      </c>
      <c r="J6" s="532">
        <v>61810.67</v>
      </c>
      <c r="K6" s="532">
        <v>155787.18</v>
      </c>
    </row>
    <row r="7" spans="1:11">
      <c r="A7">
        <v>44</v>
      </c>
      <c r="B7" t="s">
        <v>851</v>
      </c>
      <c r="C7" s="532">
        <v>799999978.48000002</v>
      </c>
      <c r="D7" s="532">
        <v>2775795.73</v>
      </c>
      <c r="E7" s="532">
        <v>3043261.33</v>
      </c>
      <c r="F7" s="532">
        <v>2079886.02</v>
      </c>
      <c r="G7" s="532">
        <v>2578179.84</v>
      </c>
      <c r="H7" s="532">
        <v>48955.9</v>
      </c>
      <c r="I7" s="532">
        <v>84819</v>
      </c>
      <c r="J7" s="532">
        <v>78215.23</v>
      </c>
      <c r="K7" s="532">
        <v>139949.1</v>
      </c>
    </row>
    <row r="8" spans="1:11">
      <c r="A8">
        <v>44</v>
      </c>
      <c r="B8" t="s">
        <v>852</v>
      </c>
      <c r="C8" s="532">
        <v>799999981.26999998</v>
      </c>
      <c r="D8" s="532">
        <v>1164177.04</v>
      </c>
      <c r="E8" s="532">
        <v>2617418.4900000002</v>
      </c>
      <c r="F8" s="532">
        <v>3057357.74</v>
      </c>
      <c r="G8" s="532">
        <v>4809039.37</v>
      </c>
      <c r="H8" s="532">
        <v>21483.78</v>
      </c>
      <c r="I8" s="532">
        <v>54392.78</v>
      </c>
      <c r="J8" s="532">
        <v>94686.01</v>
      </c>
      <c r="K8" s="532">
        <v>253687.54</v>
      </c>
    </row>
    <row r="9" spans="1:11">
      <c r="A9">
        <v>44</v>
      </c>
      <c r="B9" t="s">
        <v>853</v>
      </c>
      <c r="C9" s="532">
        <v>799999972.76999998</v>
      </c>
      <c r="D9" s="532">
        <v>2710748.8</v>
      </c>
      <c r="E9" s="532">
        <v>3310713.44</v>
      </c>
      <c r="F9" s="532">
        <v>793492.26</v>
      </c>
      <c r="G9" s="532">
        <v>4478472.58</v>
      </c>
      <c r="H9" s="532">
        <v>50330.73</v>
      </c>
      <c r="I9" s="532">
        <v>89332.21</v>
      </c>
      <c r="J9" s="532">
        <v>29313.02</v>
      </c>
      <c r="K9" s="532">
        <v>243929.55</v>
      </c>
    </row>
    <row r="10" spans="1:11">
      <c r="A10">
        <v>44</v>
      </c>
      <c r="B10" t="s">
        <v>854</v>
      </c>
      <c r="C10" s="532">
        <v>799999975.17999995</v>
      </c>
      <c r="D10" s="532">
        <v>3535515.87</v>
      </c>
      <c r="E10" s="532">
        <v>3393550.14</v>
      </c>
      <c r="F10" s="532">
        <v>2922140.91</v>
      </c>
      <c r="G10" s="532">
        <v>3294778.98</v>
      </c>
      <c r="H10" s="532">
        <v>67150.210000000006</v>
      </c>
      <c r="I10" s="532">
        <v>96162.68</v>
      </c>
      <c r="J10" s="532">
        <v>117385.01</v>
      </c>
      <c r="K10" s="532">
        <v>216143.84</v>
      </c>
    </row>
    <row r="11" spans="1:11">
      <c r="A11">
        <v>44</v>
      </c>
      <c r="B11" t="s">
        <v>855</v>
      </c>
      <c r="C11" s="532">
        <v>799999960.75999999</v>
      </c>
      <c r="D11" s="532">
        <v>2751827.06</v>
      </c>
      <c r="E11" s="532">
        <v>1334554.3799999999</v>
      </c>
      <c r="F11" s="532">
        <v>5194079.08</v>
      </c>
      <c r="G11" s="532">
        <v>3296587.69</v>
      </c>
      <c r="H11" s="532">
        <v>52082.45</v>
      </c>
      <c r="I11" s="532">
        <v>34135.22</v>
      </c>
      <c r="J11" s="532">
        <v>189632.28</v>
      </c>
      <c r="K11" s="532">
        <v>208380.91</v>
      </c>
    </row>
    <row r="12" spans="1:11">
      <c r="A12">
        <v>44</v>
      </c>
      <c r="B12" t="s">
        <v>856</v>
      </c>
      <c r="C12" s="532">
        <v>799999954.80999994</v>
      </c>
      <c r="D12" s="532">
        <v>1263148.75</v>
      </c>
      <c r="E12" s="532">
        <v>2701830.53</v>
      </c>
      <c r="F12" s="532">
        <v>2935515.35</v>
      </c>
      <c r="G12" s="532">
        <v>5468424.4500000002</v>
      </c>
      <c r="H12" s="532">
        <v>23677.94</v>
      </c>
      <c r="I12" s="532">
        <v>58651.33</v>
      </c>
      <c r="J12" s="532">
        <v>89657.35</v>
      </c>
      <c r="K12" s="532">
        <v>322186.83</v>
      </c>
    </row>
    <row r="13" spans="1:11">
      <c r="A13">
        <v>44</v>
      </c>
      <c r="B13" t="s">
        <v>857</v>
      </c>
      <c r="C13" s="532">
        <v>799999976.96000004</v>
      </c>
      <c r="D13" s="532">
        <v>3005727.01</v>
      </c>
      <c r="E13" s="532">
        <v>3245004.32</v>
      </c>
      <c r="F13" s="532">
        <v>2556197.75</v>
      </c>
      <c r="G13" s="532">
        <v>3853833.82</v>
      </c>
      <c r="H13" s="532">
        <v>60217.279999999999</v>
      </c>
      <c r="I13" s="532">
        <v>96818.6</v>
      </c>
      <c r="J13" s="532">
        <v>110024.54</v>
      </c>
      <c r="K13" s="532">
        <v>260008.6</v>
      </c>
    </row>
    <row r="14" spans="1:11">
      <c r="A14">
        <v>44</v>
      </c>
      <c r="B14" t="s">
        <v>858</v>
      </c>
      <c r="C14" s="532">
        <v>799999953.42999995</v>
      </c>
      <c r="D14" s="532">
        <v>1121534.93</v>
      </c>
      <c r="E14" s="532">
        <v>3290506.59</v>
      </c>
      <c r="F14" s="532">
        <v>2995097.03</v>
      </c>
      <c r="G14" s="532">
        <v>4900308.8</v>
      </c>
      <c r="H14" s="532">
        <v>21395.95</v>
      </c>
      <c r="I14" s="532">
        <v>73718.09</v>
      </c>
      <c r="J14" s="532">
        <v>96131.45</v>
      </c>
      <c r="K14" s="532">
        <v>269972.06</v>
      </c>
    </row>
    <row r="15" spans="1:11">
      <c r="A15">
        <v>44</v>
      </c>
      <c r="B15" t="s">
        <v>859</v>
      </c>
      <c r="C15" s="532">
        <v>773493852.49000001</v>
      </c>
      <c r="D15" s="532">
        <v>3390296.77</v>
      </c>
      <c r="E15" s="532">
        <v>1251038.01</v>
      </c>
      <c r="F15" s="532">
        <v>3405899.31</v>
      </c>
      <c r="G15" s="532">
        <v>4651112.3899999997</v>
      </c>
      <c r="H15" s="532">
        <v>65648.89</v>
      </c>
      <c r="I15" s="532">
        <v>30877.81</v>
      </c>
      <c r="J15" s="532">
        <v>110576.33</v>
      </c>
      <c r="K15" s="532">
        <v>243152.71</v>
      </c>
    </row>
    <row r="16" spans="1:11">
      <c r="A16">
        <v>44</v>
      </c>
      <c r="B16" t="s">
        <v>860</v>
      </c>
      <c r="C16" s="532">
        <v>749195329.34000003</v>
      </c>
      <c r="D16" s="532">
        <v>3688258.37</v>
      </c>
      <c r="E16" s="532">
        <v>1471123.59</v>
      </c>
      <c r="F16" s="532">
        <v>3254532.1</v>
      </c>
      <c r="G16" s="532">
        <v>5336618.76</v>
      </c>
      <c r="H16" s="532">
        <v>71046.69</v>
      </c>
      <c r="I16" s="532">
        <v>38487.32</v>
      </c>
      <c r="J16" s="532">
        <v>102919.82</v>
      </c>
      <c r="K16" s="532">
        <v>287054.18</v>
      </c>
    </row>
    <row r="17" spans="1:11">
      <c r="A17">
        <v>44</v>
      </c>
      <c r="B17" t="s">
        <v>861</v>
      </c>
      <c r="C17" s="532">
        <v>723934669.34000003</v>
      </c>
      <c r="D17" s="532">
        <v>1225837.21</v>
      </c>
      <c r="E17" s="532">
        <v>4062349.35</v>
      </c>
      <c r="F17" s="532">
        <v>3277623.85</v>
      </c>
      <c r="G17" s="532">
        <v>5009666.3</v>
      </c>
      <c r="H17" s="532">
        <v>25040.65</v>
      </c>
      <c r="I17" s="532">
        <v>85435.89</v>
      </c>
      <c r="J17" s="532">
        <v>103114.44</v>
      </c>
      <c r="K17" s="532">
        <v>274894.25</v>
      </c>
    </row>
    <row r="18" spans="1:11">
      <c r="A18">
        <v>44</v>
      </c>
      <c r="B18" t="s">
        <v>862</v>
      </c>
      <c r="C18" s="532">
        <v>702538142.62</v>
      </c>
      <c r="D18" s="532">
        <v>3530115.51</v>
      </c>
      <c r="E18" s="532">
        <v>4171506.81</v>
      </c>
      <c r="F18" s="532">
        <v>2915982.06</v>
      </c>
      <c r="G18" s="532">
        <v>3622855.9</v>
      </c>
      <c r="H18" s="532">
        <v>69573.539999999994</v>
      </c>
      <c r="I18" s="532">
        <v>121014.73</v>
      </c>
      <c r="J18" s="532">
        <v>123164.28</v>
      </c>
      <c r="K18" s="532">
        <v>223499.03</v>
      </c>
    </row>
    <row r="19" spans="1:11">
      <c r="A19">
        <v>44</v>
      </c>
      <c r="B19" t="s">
        <v>863</v>
      </c>
      <c r="C19" s="532">
        <v>685574203.97000003</v>
      </c>
      <c r="D19" s="532">
        <v>4091381.25</v>
      </c>
      <c r="E19" s="532">
        <v>3440904.43</v>
      </c>
      <c r="F19" s="532">
        <v>1042185.65</v>
      </c>
      <c r="G19" s="532">
        <v>5849109.2999999998</v>
      </c>
      <c r="H19" s="532">
        <v>74347.69</v>
      </c>
      <c r="I19" s="532">
        <v>100563.54</v>
      </c>
      <c r="J19" s="532">
        <v>41715.08</v>
      </c>
      <c r="K19" s="532">
        <v>330142.28000000003</v>
      </c>
    </row>
    <row r="20" spans="1:11">
      <c r="A20">
        <v>44</v>
      </c>
      <c r="B20" t="s">
        <v>864</v>
      </c>
      <c r="C20" s="532">
        <v>663385495.13</v>
      </c>
      <c r="D20" s="532">
        <v>1201972.56</v>
      </c>
      <c r="E20" s="532">
        <v>3838731.41</v>
      </c>
      <c r="F20" s="532">
        <v>3571471.86</v>
      </c>
      <c r="G20" s="532">
        <v>5606125.5999999996</v>
      </c>
      <c r="H20" s="532">
        <v>23320.55</v>
      </c>
      <c r="I20" s="532">
        <v>89650.37</v>
      </c>
      <c r="J20" s="532">
        <v>112116.01</v>
      </c>
      <c r="K20" s="532">
        <v>318277.23</v>
      </c>
    </row>
    <row r="21" spans="1:11">
      <c r="A21">
        <v>44</v>
      </c>
      <c r="B21" t="s">
        <v>865</v>
      </c>
      <c r="C21" s="532">
        <v>642933391.97000003</v>
      </c>
      <c r="D21" s="532">
        <v>3610642.52</v>
      </c>
      <c r="E21" s="532">
        <v>3516909.99</v>
      </c>
      <c r="F21" s="532">
        <v>3483255.79</v>
      </c>
      <c r="G21" s="532">
        <v>3670197.55</v>
      </c>
      <c r="H21" s="532">
        <v>68530.83</v>
      </c>
      <c r="I21" s="532">
        <v>96188.86</v>
      </c>
      <c r="J21" s="532">
        <v>145806.43</v>
      </c>
      <c r="K21" s="532">
        <v>231428.67</v>
      </c>
    </row>
    <row r="22" spans="1:11">
      <c r="A22">
        <v>44</v>
      </c>
      <c r="B22" t="s">
        <v>866</v>
      </c>
      <c r="C22" s="532">
        <v>622702749.44000006</v>
      </c>
      <c r="D22" s="532">
        <v>1724722.17</v>
      </c>
      <c r="E22" s="532">
        <v>5293904.22</v>
      </c>
      <c r="F22" s="532">
        <v>2805141.57</v>
      </c>
      <c r="G22" s="532">
        <v>4336865.29</v>
      </c>
      <c r="H22" s="532">
        <v>33475.449999999997</v>
      </c>
      <c r="I22" s="532">
        <v>136614.09</v>
      </c>
      <c r="J22" s="532">
        <v>113311.56</v>
      </c>
      <c r="K22" s="532">
        <v>267564.13</v>
      </c>
    </row>
    <row r="23" spans="1:11">
      <c r="A23">
        <v>44</v>
      </c>
      <c r="B23" t="s">
        <v>867</v>
      </c>
      <c r="C23" s="532">
        <v>603149210.98000002</v>
      </c>
      <c r="D23" s="532">
        <v>3706944.68</v>
      </c>
      <c r="E23" s="532">
        <v>1515086.07</v>
      </c>
      <c r="F23" s="532">
        <v>5002133.84</v>
      </c>
      <c r="G23" s="532">
        <v>3956239.96</v>
      </c>
      <c r="H23" s="532">
        <v>70916.34</v>
      </c>
      <c r="I23" s="532">
        <v>41175.89</v>
      </c>
      <c r="J23" s="532">
        <v>187137.74</v>
      </c>
      <c r="K23" s="532">
        <v>238395.47</v>
      </c>
    </row>
    <row r="24" spans="1:11">
      <c r="A24">
        <v>44</v>
      </c>
      <c r="B24" t="s">
        <v>868</v>
      </c>
      <c r="C24" s="532">
        <v>583440638.30999994</v>
      </c>
      <c r="D24" s="532">
        <v>3063567.44</v>
      </c>
      <c r="E24" s="532">
        <v>4542905.75</v>
      </c>
      <c r="F24" s="532">
        <v>1137245.27</v>
      </c>
      <c r="G24" s="532">
        <v>5657088.0099999998</v>
      </c>
      <c r="H24" s="532">
        <v>62046.34</v>
      </c>
      <c r="I24" s="532">
        <v>127647.29</v>
      </c>
      <c r="J24" s="532">
        <v>51861.73</v>
      </c>
      <c r="K24" s="532">
        <v>308897.13</v>
      </c>
    </row>
    <row r="25" spans="1:11">
      <c r="A25">
        <v>44</v>
      </c>
      <c r="B25" t="s">
        <v>869</v>
      </c>
      <c r="C25" s="532">
        <v>565909952.76999998</v>
      </c>
      <c r="D25" s="532">
        <v>3306208.91</v>
      </c>
      <c r="E25" s="532">
        <v>1427173.89</v>
      </c>
      <c r="F25" s="532">
        <v>3651564.26</v>
      </c>
      <c r="G25" s="532">
        <v>6420399.5199999996</v>
      </c>
      <c r="H25" s="532">
        <v>66357.279999999999</v>
      </c>
      <c r="I25" s="532">
        <v>41592.129999999997</v>
      </c>
      <c r="J25" s="532">
        <v>124811.9</v>
      </c>
      <c r="K25" s="532">
        <v>366036.24</v>
      </c>
    </row>
    <row r="26" spans="1:11">
      <c r="A26">
        <v>44</v>
      </c>
      <c r="B26" t="s">
        <v>870</v>
      </c>
      <c r="C26" s="532">
        <v>545962122.88999999</v>
      </c>
      <c r="D26" s="532">
        <v>960056.11</v>
      </c>
      <c r="E26" s="532">
        <v>2701557.49</v>
      </c>
      <c r="F26" s="532">
        <v>3345553.36</v>
      </c>
      <c r="G26" s="532">
        <v>6427218.9100000001</v>
      </c>
      <c r="H26" s="532">
        <v>19762.41</v>
      </c>
      <c r="I26" s="532">
        <v>68867.28</v>
      </c>
      <c r="J26" s="532">
        <v>117113.93</v>
      </c>
      <c r="K26" s="532">
        <v>375628.43</v>
      </c>
    </row>
    <row r="27" spans="1:11">
      <c r="A27">
        <v>44</v>
      </c>
      <c r="B27" t="s">
        <v>871</v>
      </c>
      <c r="C27" s="532">
        <v>528523069.44999999</v>
      </c>
      <c r="D27" s="532">
        <v>3189559.07</v>
      </c>
      <c r="E27" s="532">
        <v>2926119.46</v>
      </c>
      <c r="F27" s="532">
        <v>2970998.71</v>
      </c>
      <c r="G27" s="532">
        <v>4061844.91</v>
      </c>
      <c r="H27" s="532">
        <v>62103.79</v>
      </c>
      <c r="I27" s="532">
        <v>84517.04</v>
      </c>
      <c r="J27" s="532">
        <v>132330.19</v>
      </c>
      <c r="K27" s="532">
        <v>267975.59000000003</v>
      </c>
    </row>
    <row r="28" spans="1:11">
      <c r="A28">
        <v>44</v>
      </c>
      <c r="B28" t="s">
        <v>872</v>
      </c>
      <c r="C28" s="532">
        <v>510138365.52999997</v>
      </c>
      <c r="D28" s="532">
        <v>2373324.7599999998</v>
      </c>
      <c r="E28" s="532">
        <v>1304176.32</v>
      </c>
      <c r="F28" s="532">
        <v>2610316.0499999998</v>
      </c>
      <c r="G28" s="532">
        <v>4758636.4000000004</v>
      </c>
      <c r="H28" s="532">
        <v>49696.38</v>
      </c>
      <c r="I28" s="532">
        <v>38563.9</v>
      </c>
      <c r="J28" s="532">
        <v>87974.98</v>
      </c>
      <c r="K28" s="532">
        <v>280420.2</v>
      </c>
    </row>
    <row r="29" spans="1:11">
      <c r="A29">
        <v>44</v>
      </c>
      <c r="B29" t="s">
        <v>873</v>
      </c>
    </row>
    <row r="30" spans="1:11">
      <c r="A30">
        <v>44</v>
      </c>
      <c r="B30" t="s">
        <v>874</v>
      </c>
    </row>
    <row r="31" spans="1:11">
      <c r="A31">
        <v>44</v>
      </c>
      <c r="B31" t="s">
        <v>875</v>
      </c>
    </row>
    <row r="32" spans="1:11">
      <c r="A32">
        <v>44</v>
      </c>
      <c r="B32" t="s">
        <v>876</v>
      </c>
    </row>
    <row r="33" spans="1:2">
      <c r="A33">
        <v>44</v>
      </c>
      <c r="B33" t="s">
        <v>877</v>
      </c>
    </row>
    <row r="34" spans="1:2">
      <c r="A34">
        <v>44</v>
      </c>
      <c r="B34" t="s">
        <v>878</v>
      </c>
    </row>
    <row r="35" spans="1:2">
      <c r="A35">
        <v>44</v>
      </c>
      <c r="B35" t="s">
        <v>879</v>
      </c>
    </row>
    <row r="36" spans="1:2">
      <c r="A36">
        <v>44</v>
      </c>
      <c r="B36" t="s">
        <v>880</v>
      </c>
    </row>
    <row r="37" spans="1:2">
      <c r="A37">
        <v>44</v>
      </c>
      <c r="B37" t="s">
        <v>881</v>
      </c>
    </row>
    <row r="38" spans="1:2">
      <c r="A38">
        <v>44</v>
      </c>
      <c r="B38" t="s">
        <v>882</v>
      </c>
    </row>
    <row r="39" spans="1:2">
      <c r="A39">
        <v>44</v>
      </c>
      <c r="B39" t="s">
        <v>883</v>
      </c>
    </row>
    <row r="40" spans="1:2">
      <c r="A40">
        <v>44</v>
      </c>
      <c r="B40" t="s">
        <v>884</v>
      </c>
    </row>
    <row r="41" spans="1:2">
      <c r="A41">
        <v>44</v>
      </c>
      <c r="B41" t="s">
        <v>885</v>
      </c>
    </row>
    <row r="42" spans="1:2">
      <c r="A42">
        <v>44</v>
      </c>
      <c r="B42" t="s">
        <v>886</v>
      </c>
    </row>
    <row r="43" spans="1:2">
      <c r="A43">
        <v>44</v>
      </c>
      <c r="B43" t="s">
        <v>887</v>
      </c>
    </row>
    <row r="44" spans="1:2">
      <c r="A44">
        <v>44</v>
      </c>
      <c r="B44" t="s">
        <v>888</v>
      </c>
    </row>
    <row r="45" spans="1:2">
      <c r="A45">
        <v>44</v>
      </c>
      <c r="B45" t="s">
        <v>889</v>
      </c>
    </row>
    <row r="46" spans="1:2">
      <c r="A46">
        <v>44</v>
      </c>
      <c r="B46" t="s">
        <v>890</v>
      </c>
    </row>
    <row r="47" spans="1:2">
      <c r="A47">
        <v>44</v>
      </c>
      <c r="B47" t="s">
        <v>891</v>
      </c>
    </row>
    <row r="48" spans="1:2">
      <c r="A48">
        <v>44</v>
      </c>
      <c r="B48" t="s">
        <v>892</v>
      </c>
    </row>
    <row r="49" spans="1:2">
      <c r="A49">
        <v>44</v>
      </c>
      <c r="B49" t="s">
        <v>893</v>
      </c>
    </row>
    <row r="50" spans="1:2">
      <c r="A50">
        <v>44</v>
      </c>
      <c r="B50" t="s">
        <v>894</v>
      </c>
    </row>
    <row r="51" spans="1:2">
      <c r="A51">
        <v>44</v>
      </c>
      <c r="B51" t="s">
        <v>895</v>
      </c>
    </row>
    <row r="52" spans="1:2">
      <c r="A52">
        <v>44</v>
      </c>
      <c r="B52" t="s">
        <v>896</v>
      </c>
    </row>
    <row r="53" spans="1:2">
      <c r="A53">
        <v>44</v>
      </c>
      <c r="B53" t="s">
        <v>897</v>
      </c>
    </row>
    <row r="54" spans="1:2">
      <c r="A54">
        <v>44</v>
      </c>
      <c r="B54" t="s">
        <v>898</v>
      </c>
    </row>
    <row r="55" spans="1:2">
      <c r="A55">
        <v>44</v>
      </c>
      <c r="B55" t="s">
        <v>899</v>
      </c>
    </row>
    <row r="56" spans="1:2">
      <c r="A56">
        <v>44</v>
      </c>
      <c r="B56" t="s">
        <v>900</v>
      </c>
    </row>
    <row r="57" spans="1:2">
      <c r="A57">
        <v>44</v>
      </c>
      <c r="B57" t="s">
        <v>901</v>
      </c>
    </row>
    <row r="58" spans="1:2">
      <c r="A58">
        <v>44</v>
      </c>
      <c r="B58" t="s">
        <v>902</v>
      </c>
    </row>
    <row r="59" spans="1:2">
      <c r="A59">
        <v>44</v>
      </c>
      <c r="B59" t="s">
        <v>903</v>
      </c>
    </row>
    <row r="60" spans="1:2">
      <c r="A60">
        <v>44</v>
      </c>
      <c r="B60" t="s">
        <v>904</v>
      </c>
    </row>
    <row r="61" spans="1:2">
      <c r="A61">
        <v>44</v>
      </c>
      <c r="B61" t="s">
        <v>905</v>
      </c>
    </row>
    <row r="62" spans="1:2">
      <c r="A62">
        <v>44</v>
      </c>
      <c r="B62" t="s">
        <v>906</v>
      </c>
    </row>
    <row r="63" spans="1:2">
      <c r="A63">
        <v>44</v>
      </c>
      <c r="B63" t="s">
        <v>907</v>
      </c>
    </row>
    <row r="64" spans="1:2">
      <c r="A64">
        <v>44</v>
      </c>
      <c r="B64" t="s">
        <v>908</v>
      </c>
    </row>
    <row r="65" spans="1:2">
      <c r="A65">
        <v>44</v>
      </c>
      <c r="B65" t="s">
        <v>909</v>
      </c>
    </row>
    <row r="66" spans="1:2">
      <c r="A66">
        <v>44</v>
      </c>
      <c r="B66" t="s">
        <v>910</v>
      </c>
    </row>
    <row r="67" spans="1:2">
      <c r="A67">
        <v>44</v>
      </c>
      <c r="B67" t="s">
        <v>911</v>
      </c>
    </row>
    <row r="68" spans="1:2">
      <c r="A68">
        <v>44</v>
      </c>
      <c r="B68" t="s">
        <v>912</v>
      </c>
    </row>
    <row r="69" spans="1:2">
      <c r="A69">
        <v>44</v>
      </c>
      <c r="B69" t="s">
        <v>913</v>
      </c>
    </row>
    <row r="70" spans="1:2">
      <c r="A70">
        <v>44</v>
      </c>
      <c r="B70" t="s">
        <v>914</v>
      </c>
    </row>
    <row r="71" spans="1:2">
      <c r="A71">
        <v>44</v>
      </c>
      <c r="B71" t="s">
        <v>915</v>
      </c>
    </row>
    <row r="72" spans="1:2">
      <c r="A72">
        <v>44</v>
      </c>
      <c r="B72" t="s">
        <v>916</v>
      </c>
    </row>
    <row r="73" spans="1:2">
      <c r="A73">
        <v>44</v>
      </c>
      <c r="B73" t="s">
        <v>917</v>
      </c>
    </row>
    <row r="74" spans="1:2">
      <c r="A74">
        <v>44</v>
      </c>
      <c r="B74" t="s">
        <v>918</v>
      </c>
    </row>
    <row r="75" spans="1:2">
      <c r="A75">
        <v>44</v>
      </c>
      <c r="B75" t="s">
        <v>919</v>
      </c>
    </row>
    <row r="76" spans="1:2">
      <c r="A76">
        <v>44</v>
      </c>
      <c r="B76" t="s">
        <v>920</v>
      </c>
    </row>
    <row r="77" spans="1:2">
      <c r="A77">
        <v>44</v>
      </c>
      <c r="B77" t="s">
        <v>921</v>
      </c>
    </row>
    <row r="78" spans="1:2">
      <c r="A78">
        <v>44</v>
      </c>
      <c r="B78" t="s">
        <v>922</v>
      </c>
    </row>
    <row r="79" spans="1:2">
      <c r="A79">
        <v>44</v>
      </c>
      <c r="B79" t="s">
        <v>923</v>
      </c>
    </row>
    <row r="80" spans="1:2">
      <c r="A80">
        <v>44</v>
      </c>
      <c r="B80" t="s">
        <v>924</v>
      </c>
    </row>
    <row r="81" spans="1:2">
      <c r="A81">
        <v>44</v>
      </c>
      <c r="B81" t="s">
        <v>925</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I44" sqref="I44"/>
    </sheetView>
  </sheetViews>
  <sheetFormatPr baseColWidth="10" defaultColWidth="8.7265625" defaultRowHeight="12.5"/>
  <cols>
    <col min="1" max="1" width="13" customWidth="1"/>
    <col min="2" max="2" width="41" customWidth="1"/>
    <col min="3" max="11" width="13" customWidth="1"/>
  </cols>
  <sheetData>
    <row r="1" spans="1:11">
      <c r="A1" t="s">
        <v>833</v>
      </c>
      <c r="B1" t="s">
        <v>827</v>
      </c>
      <c r="C1" t="s">
        <v>841</v>
      </c>
      <c r="D1" t="s">
        <v>396</v>
      </c>
      <c r="E1" t="s">
        <v>842</v>
      </c>
      <c r="F1" t="s">
        <v>843</v>
      </c>
      <c r="G1" t="s">
        <v>838</v>
      </c>
      <c r="H1" t="s">
        <v>839</v>
      </c>
      <c r="I1" t="s">
        <v>840</v>
      </c>
      <c r="J1" t="s">
        <v>844</v>
      </c>
      <c r="K1" t="s">
        <v>845</v>
      </c>
    </row>
    <row r="2" spans="1:11">
      <c r="A2">
        <v>44</v>
      </c>
      <c r="B2" t="s">
        <v>926</v>
      </c>
      <c r="C2">
        <v>0</v>
      </c>
      <c r="D2" s="532">
        <v>0</v>
      </c>
      <c r="E2" s="532">
        <v>0</v>
      </c>
      <c r="F2" s="532">
        <v>822656474.24000001</v>
      </c>
      <c r="G2">
        <v>0</v>
      </c>
      <c r="H2" s="532">
        <v>0</v>
      </c>
      <c r="I2" s="532">
        <v>0</v>
      </c>
      <c r="J2" s="532">
        <v>0</v>
      </c>
      <c r="K2">
        <v>0</v>
      </c>
    </row>
    <row r="3" spans="1:11">
      <c r="A3">
        <v>44</v>
      </c>
      <c r="B3" t="s">
        <v>927</v>
      </c>
      <c r="C3">
        <v>0</v>
      </c>
      <c r="D3" s="532">
        <v>0</v>
      </c>
      <c r="E3" s="532">
        <v>0</v>
      </c>
      <c r="F3" s="532">
        <v>842725089.55999994</v>
      </c>
      <c r="G3">
        <v>0</v>
      </c>
      <c r="H3" s="532">
        <v>0</v>
      </c>
      <c r="I3" s="532">
        <v>0</v>
      </c>
      <c r="J3" s="532">
        <v>0</v>
      </c>
      <c r="K3">
        <v>0</v>
      </c>
    </row>
    <row r="4" spans="1:11">
      <c r="A4">
        <v>44</v>
      </c>
      <c r="B4" t="s">
        <v>928</v>
      </c>
      <c r="C4">
        <v>6</v>
      </c>
      <c r="D4" s="532">
        <v>277861.92</v>
      </c>
      <c r="E4" s="532">
        <v>277861.92</v>
      </c>
      <c r="F4" s="532">
        <v>862443185.15999997</v>
      </c>
      <c r="G4">
        <v>3.221799705547574E-4</v>
      </c>
      <c r="H4" s="532">
        <v>-741.14</v>
      </c>
      <c r="I4" s="532">
        <v>-741.14</v>
      </c>
      <c r="J4" s="532">
        <v>278603.06</v>
      </c>
      <c r="K4">
        <v>3.2303931991568087E-4</v>
      </c>
    </row>
    <row r="5" spans="1:11">
      <c r="A5">
        <v>44</v>
      </c>
      <c r="B5" t="s">
        <v>929</v>
      </c>
      <c r="C5">
        <v>40</v>
      </c>
      <c r="D5" s="532">
        <v>657619.93999999994</v>
      </c>
      <c r="E5" s="532">
        <v>935481.86</v>
      </c>
      <c r="F5" s="532">
        <v>883454525.34000003</v>
      </c>
      <c r="G5">
        <v>1.0588907896985156E-3</v>
      </c>
      <c r="H5" s="532">
        <v>-1902.33</v>
      </c>
      <c r="I5" s="532">
        <v>-2643.47</v>
      </c>
      <c r="J5" s="532">
        <v>938125.33</v>
      </c>
      <c r="K5">
        <v>1.061882986720748E-3</v>
      </c>
    </row>
    <row r="6" spans="1:11">
      <c r="A6">
        <v>44</v>
      </c>
      <c r="B6" t="s">
        <v>930</v>
      </c>
      <c r="C6">
        <v>74</v>
      </c>
      <c r="D6" s="532">
        <v>874440.48</v>
      </c>
      <c r="E6" s="532">
        <v>1809922.34</v>
      </c>
      <c r="F6" s="532">
        <v>900750896.40999997</v>
      </c>
      <c r="G6">
        <v>2.0093483639189932E-3</v>
      </c>
      <c r="H6" s="532">
        <v>-4553.34</v>
      </c>
      <c r="I6" s="532">
        <v>-7196.81</v>
      </c>
      <c r="J6" s="532">
        <v>1817119.15</v>
      </c>
      <c r="K6">
        <v>2.0173381533587632E-3</v>
      </c>
    </row>
    <row r="7" spans="1:11">
      <c r="A7">
        <v>44</v>
      </c>
      <c r="B7" t="s">
        <v>931</v>
      </c>
      <c r="C7">
        <v>121</v>
      </c>
      <c r="D7" s="532">
        <v>899526.81</v>
      </c>
      <c r="E7" s="532">
        <v>2709449.15</v>
      </c>
      <c r="F7" s="532">
        <v>928167166.32000005</v>
      </c>
      <c r="G7">
        <v>2.9191391899181613E-3</v>
      </c>
      <c r="H7" s="532">
        <v>-1486.95</v>
      </c>
      <c r="I7" s="532">
        <v>-8683.76</v>
      </c>
      <c r="J7" s="532">
        <v>2718132.91</v>
      </c>
      <c r="K7">
        <v>2.9284950045979988E-3</v>
      </c>
    </row>
    <row r="8" spans="1:11">
      <c r="A8">
        <v>44</v>
      </c>
      <c r="B8" t="s">
        <v>932</v>
      </c>
      <c r="C8">
        <v>199</v>
      </c>
      <c r="D8" s="532">
        <v>1864992.84</v>
      </c>
      <c r="E8" s="532">
        <v>4574441.99</v>
      </c>
      <c r="F8" s="532">
        <v>954063794.46000004</v>
      </c>
      <c r="G8">
        <v>4.794691944671409E-3</v>
      </c>
      <c r="H8" s="532">
        <v>-3874.74</v>
      </c>
      <c r="I8" s="532">
        <v>-12558.5</v>
      </c>
      <c r="J8" s="532">
        <v>4587000.49</v>
      </c>
      <c r="K8">
        <v>4.8078551105654758E-3</v>
      </c>
    </row>
    <row r="9" spans="1:11">
      <c r="A9">
        <v>44</v>
      </c>
      <c r="B9" t="s">
        <v>933</v>
      </c>
      <c r="C9">
        <v>275</v>
      </c>
      <c r="D9" s="532">
        <v>1721018.44</v>
      </c>
      <c r="E9" s="532">
        <v>6295460.4299999997</v>
      </c>
      <c r="F9" s="532">
        <v>979754869.64999998</v>
      </c>
      <c r="G9">
        <v>6.4255464555628503E-3</v>
      </c>
      <c r="H9" s="532">
        <v>-7015</v>
      </c>
      <c r="I9" s="532">
        <v>-19573.5</v>
      </c>
      <c r="J9" s="532">
        <v>6315033.9299999997</v>
      </c>
      <c r="K9">
        <v>6.4455244118928785E-3</v>
      </c>
    </row>
    <row r="10" spans="1:11">
      <c r="A10">
        <v>44</v>
      </c>
      <c r="B10" t="s">
        <v>934</v>
      </c>
      <c r="C10">
        <v>370</v>
      </c>
      <c r="D10" s="532">
        <v>2055289.17</v>
      </c>
      <c r="E10" s="532">
        <v>8350749.5999999996</v>
      </c>
      <c r="F10" s="532">
        <v>1007180295.11</v>
      </c>
      <c r="G10">
        <v>8.2912162207144507E-3</v>
      </c>
      <c r="H10" s="532">
        <v>2033.1</v>
      </c>
      <c r="I10" s="532">
        <v>-17540.400000000001</v>
      </c>
      <c r="J10" s="532">
        <v>8368290</v>
      </c>
      <c r="K10">
        <v>8.308631573343132E-3</v>
      </c>
    </row>
    <row r="11" spans="1:11">
      <c r="A11">
        <v>44</v>
      </c>
      <c r="B11" t="s">
        <v>935</v>
      </c>
      <c r="C11">
        <v>454</v>
      </c>
      <c r="D11" s="532">
        <v>1963230.39</v>
      </c>
      <c r="E11" s="532">
        <v>10313979.99</v>
      </c>
      <c r="F11" s="532">
        <v>1032429513.09</v>
      </c>
      <c r="G11">
        <v>9.990008866688509E-3</v>
      </c>
      <c r="H11" s="532">
        <v>14644.48</v>
      </c>
      <c r="I11" s="532">
        <v>-2895.92</v>
      </c>
      <c r="J11" s="532">
        <v>10316875.91</v>
      </c>
      <c r="K11">
        <v>9.9928138233110024E-3</v>
      </c>
    </row>
    <row r="12" spans="1:11">
      <c r="A12">
        <v>44</v>
      </c>
      <c r="B12" t="s">
        <v>936</v>
      </c>
      <c r="C12">
        <v>560</v>
      </c>
      <c r="D12" s="532">
        <v>2496297.4</v>
      </c>
      <c r="E12" s="532">
        <v>12810277.390000001</v>
      </c>
      <c r="F12" s="532">
        <v>1058468346.5700001</v>
      </c>
      <c r="G12">
        <v>1.2102655154036591E-2</v>
      </c>
      <c r="H12" s="532">
        <v>-9644.2900000000009</v>
      </c>
      <c r="I12" s="532">
        <v>-12540.21</v>
      </c>
      <c r="J12" s="532">
        <v>12822817.6</v>
      </c>
      <c r="K12">
        <v>1.2114502659954588E-2</v>
      </c>
    </row>
    <row r="13" spans="1:11">
      <c r="A13">
        <v>44</v>
      </c>
      <c r="B13" t="s">
        <v>937</v>
      </c>
      <c r="C13">
        <v>669</v>
      </c>
      <c r="D13" s="532">
        <v>2407067.5299999998</v>
      </c>
      <c r="E13" s="532">
        <v>15217344.92</v>
      </c>
      <c r="F13" s="532">
        <v>1088649819.24</v>
      </c>
      <c r="G13">
        <v>1.3978181643959137E-2</v>
      </c>
      <c r="H13" s="532">
        <v>29897.93</v>
      </c>
      <c r="I13" s="532">
        <v>17357.72</v>
      </c>
      <c r="J13" s="532">
        <v>15199987.199999999</v>
      </c>
      <c r="K13">
        <v>1.3962237380070755E-2</v>
      </c>
    </row>
    <row r="14" spans="1:11">
      <c r="A14">
        <v>44</v>
      </c>
      <c r="B14" t="s">
        <v>938</v>
      </c>
      <c r="C14">
        <v>791</v>
      </c>
      <c r="D14" s="532">
        <v>2282567.66</v>
      </c>
      <c r="E14" s="532">
        <v>17499912.579999998</v>
      </c>
      <c r="F14" s="532">
        <v>1088649819.24</v>
      </c>
      <c r="G14">
        <v>1.6074877587557865E-2</v>
      </c>
      <c r="H14" s="532">
        <v>-1560.44</v>
      </c>
      <c r="I14" s="532">
        <v>15797.28</v>
      </c>
      <c r="J14" s="532">
        <v>17484115.300000001</v>
      </c>
      <c r="K14">
        <v>1.6060366695514517E-2</v>
      </c>
    </row>
    <row r="15" spans="1:11">
      <c r="A15">
        <v>44</v>
      </c>
      <c r="B15" t="s">
        <v>939</v>
      </c>
      <c r="C15">
        <v>869</v>
      </c>
      <c r="D15" s="532">
        <v>1417481.67</v>
      </c>
      <c r="E15" s="532">
        <v>18917394.25</v>
      </c>
      <c r="F15" s="532">
        <v>1088649819.24</v>
      </c>
      <c r="G15">
        <v>1.7376932339185497E-2</v>
      </c>
      <c r="H15" s="532">
        <v>40791.870000000003</v>
      </c>
      <c r="I15" s="532">
        <v>56589.15</v>
      </c>
      <c r="J15" s="532">
        <v>18860805.100000001</v>
      </c>
      <c r="K15">
        <v>1.7324951299001697E-2</v>
      </c>
    </row>
    <row r="16" spans="1:11">
      <c r="A16">
        <v>44</v>
      </c>
      <c r="B16" t="s">
        <v>940</v>
      </c>
      <c r="C16">
        <v>974</v>
      </c>
      <c r="D16" s="532">
        <v>2253958.6</v>
      </c>
      <c r="E16" s="532">
        <v>21171352.850000001</v>
      </c>
      <c r="F16" s="532">
        <v>1088649819.24</v>
      </c>
      <c r="G16">
        <v>1.9447348886513376E-2</v>
      </c>
      <c r="H16" s="532">
        <v>41020.86</v>
      </c>
      <c r="I16" s="532">
        <v>97610.01</v>
      </c>
      <c r="J16" s="532">
        <v>21073742.84</v>
      </c>
      <c r="K16">
        <v>1.9357687355068723E-2</v>
      </c>
    </row>
    <row r="17" spans="1:11">
      <c r="A17">
        <v>44</v>
      </c>
      <c r="B17" t="s">
        <v>941</v>
      </c>
      <c r="C17">
        <v>1068</v>
      </c>
      <c r="D17" s="532">
        <v>1638800.47</v>
      </c>
      <c r="E17" s="532">
        <v>22810153.32</v>
      </c>
      <c r="F17" s="532">
        <v>1088649819.24</v>
      </c>
      <c r="G17">
        <v>2.0952700231856056E-2</v>
      </c>
      <c r="H17" s="532">
        <v>29155.9</v>
      </c>
      <c r="I17" s="532">
        <v>126765.91</v>
      </c>
      <c r="J17" s="532">
        <v>22683387.41</v>
      </c>
      <c r="K17">
        <v>2.0836256993856439E-2</v>
      </c>
    </row>
    <row r="18" spans="1:11">
      <c r="A18">
        <v>44</v>
      </c>
      <c r="B18" t="s">
        <v>942</v>
      </c>
      <c r="C18">
        <v>1167</v>
      </c>
      <c r="D18" s="532">
        <v>1998114.35</v>
      </c>
      <c r="E18" s="532">
        <v>24808267.670000002</v>
      </c>
      <c r="F18" s="532">
        <v>1088649819.24</v>
      </c>
      <c r="G18">
        <v>2.2788106176620655E-2</v>
      </c>
      <c r="H18" s="532">
        <v>45260.67</v>
      </c>
      <c r="I18" s="532">
        <v>172026.58</v>
      </c>
      <c r="J18" s="532">
        <v>24636241.09</v>
      </c>
      <c r="K18">
        <v>2.2630087889234089E-2</v>
      </c>
    </row>
    <row r="19" spans="1:11">
      <c r="A19">
        <v>44</v>
      </c>
      <c r="B19" t="s">
        <v>943</v>
      </c>
      <c r="C19">
        <v>1283</v>
      </c>
      <c r="D19" s="532">
        <v>2252702.9</v>
      </c>
      <c r="E19" s="532">
        <v>27060970.57</v>
      </c>
      <c r="F19" s="532">
        <v>1088649819.24</v>
      </c>
      <c r="G19">
        <v>2.4857369276827329E-2</v>
      </c>
      <c r="H19" s="532">
        <v>56833.14</v>
      </c>
      <c r="I19" s="532">
        <v>228859.72</v>
      </c>
      <c r="J19" s="532">
        <v>26832110.850000001</v>
      </c>
      <c r="K19">
        <v>2.4647145827601233E-2</v>
      </c>
    </row>
    <row r="20" spans="1:11">
      <c r="A20">
        <v>44</v>
      </c>
      <c r="B20" t="s">
        <v>944</v>
      </c>
      <c r="C20">
        <v>1390</v>
      </c>
      <c r="D20" s="532">
        <v>2341630.04</v>
      </c>
      <c r="E20" s="532">
        <v>29402600.609999999</v>
      </c>
      <c r="F20" s="532">
        <v>1088649819.24</v>
      </c>
      <c r="G20">
        <v>2.7008318093072685E-2</v>
      </c>
      <c r="H20" s="532">
        <v>25885.26</v>
      </c>
      <c r="I20" s="532">
        <v>254744.98</v>
      </c>
      <c r="J20" s="532">
        <v>29147855.629999999</v>
      </c>
      <c r="K20">
        <v>2.6774317245878459E-2</v>
      </c>
    </row>
    <row r="21" spans="1:11">
      <c r="A21">
        <v>44</v>
      </c>
      <c r="B21" t="s">
        <v>945</v>
      </c>
      <c r="C21">
        <v>1499</v>
      </c>
      <c r="D21" s="532">
        <v>2065786.39</v>
      </c>
      <c r="E21" s="532">
        <v>31468387</v>
      </c>
      <c r="F21" s="532">
        <v>1088649819.24</v>
      </c>
      <c r="G21">
        <v>2.8905885477451761E-2</v>
      </c>
      <c r="H21" s="532">
        <v>86314.16</v>
      </c>
      <c r="I21" s="532">
        <v>341059.14</v>
      </c>
      <c r="J21" s="532">
        <v>31127327.859999999</v>
      </c>
      <c r="K21">
        <v>2.8592599116702536E-2</v>
      </c>
    </row>
    <row r="22" spans="1:11">
      <c r="A22">
        <v>44</v>
      </c>
      <c r="B22" t="s">
        <v>946</v>
      </c>
      <c r="C22">
        <v>1602</v>
      </c>
      <c r="D22" s="532">
        <v>2128637.7400000002</v>
      </c>
      <c r="E22" s="532">
        <v>33597024.740000002</v>
      </c>
      <c r="F22" s="532">
        <v>1088649819.24</v>
      </c>
      <c r="G22">
        <v>3.0861186164945587E-2</v>
      </c>
      <c r="H22" s="532">
        <v>76314.039999999994</v>
      </c>
      <c r="I22" s="532">
        <v>417373.18</v>
      </c>
      <c r="J22" s="532">
        <v>33179651.559999999</v>
      </c>
      <c r="K22">
        <v>3.0477800091091852E-2</v>
      </c>
    </row>
    <row r="23" spans="1:11">
      <c r="A23">
        <v>44</v>
      </c>
      <c r="B23" t="s">
        <v>947</v>
      </c>
      <c r="C23">
        <v>1708</v>
      </c>
      <c r="D23" s="532">
        <v>2114111.79</v>
      </c>
      <c r="E23" s="532">
        <v>35711136.530000001</v>
      </c>
      <c r="F23" s="532">
        <v>1088649819.24</v>
      </c>
      <c r="G23">
        <v>3.2803143764751082E-2</v>
      </c>
      <c r="H23" s="532">
        <v>39070.449999999997</v>
      </c>
      <c r="I23" s="532">
        <v>456443.63</v>
      </c>
      <c r="J23" s="532">
        <v>35254692.899999999</v>
      </c>
      <c r="K23">
        <v>3.238386878584313E-2</v>
      </c>
    </row>
    <row r="24" spans="1:11">
      <c r="A24">
        <v>44</v>
      </c>
      <c r="B24" t="s">
        <v>948</v>
      </c>
      <c r="C24">
        <v>1778</v>
      </c>
      <c r="D24" s="532">
        <v>1450018.6</v>
      </c>
      <c r="E24" s="532">
        <v>37161155.130000003</v>
      </c>
      <c r="F24" s="532">
        <v>1088649819.24</v>
      </c>
      <c r="G24">
        <v>3.4135085932354876E-2</v>
      </c>
      <c r="H24" s="532">
        <v>82645.279999999999</v>
      </c>
      <c r="I24" s="532">
        <v>539088.91</v>
      </c>
      <c r="J24" s="532">
        <v>36622066.219999999</v>
      </c>
      <c r="K24">
        <v>3.363989555940617E-2</v>
      </c>
    </row>
    <row r="25" spans="1:11">
      <c r="A25">
        <v>44</v>
      </c>
      <c r="B25" t="s">
        <v>949</v>
      </c>
      <c r="C25">
        <v>1896</v>
      </c>
      <c r="D25" s="532">
        <v>2442411.21</v>
      </c>
      <c r="E25" s="532">
        <v>39603566.340000004</v>
      </c>
      <c r="F25" s="532">
        <v>1088649819.24</v>
      </c>
      <c r="G25">
        <v>3.637860920938539E-2</v>
      </c>
      <c r="H25" s="532">
        <v>62466.87</v>
      </c>
      <c r="I25" s="532">
        <v>601555.78</v>
      </c>
      <c r="J25" s="532">
        <v>39002010.560000002</v>
      </c>
      <c r="K25">
        <v>3.5826038704739591E-2</v>
      </c>
    </row>
    <row r="26" spans="1:11">
      <c r="A26">
        <v>44</v>
      </c>
      <c r="B26" t="s">
        <v>950</v>
      </c>
      <c r="C26">
        <v>2013</v>
      </c>
      <c r="D26" s="532">
        <v>2704693.57</v>
      </c>
      <c r="E26" s="532">
        <v>42308259.909999996</v>
      </c>
      <c r="F26" s="532">
        <v>1088649819.24</v>
      </c>
      <c r="G26">
        <v>3.8863056937386835E-2</v>
      </c>
      <c r="H26" s="532">
        <v>45746.96</v>
      </c>
      <c r="I26" s="532">
        <v>647302.74</v>
      </c>
      <c r="J26" s="532">
        <v>41660957.170000002</v>
      </c>
      <c r="K26">
        <v>3.8268464692424266E-2</v>
      </c>
    </row>
    <row r="27" spans="1:11">
      <c r="A27">
        <v>44</v>
      </c>
      <c r="B27" t="s">
        <v>951</v>
      </c>
      <c r="C27">
        <v>2149</v>
      </c>
      <c r="D27" s="532">
        <v>2778904.36</v>
      </c>
      <c r="E27" s="532">
        <v>45087164.270000003</v>
      </c>
      <c r="F27" s="532">
        <v>1088649819.24</v>
      </c>
      <c r="G27">
        <v>4.1415672398196803E-2</v>
      </c>
      <c r="H27" s="532">
        <v>126663.51</v>
      </c>
      <c r="I27" s="532">
        <v>773966.25</v>
      </c>
      <c r="J27" s="532">
        <v>44313198.020000003</v>
      </c>
      <c r="K27">
        <v>4.0704730976702498E-2</v>
      </c>
    </row>
    <row r="28" spans="1:11">
      <c r="A28">
        <v>44</v>
      </c>
      <c r="B28" t="s">
        <v>952</v>
      </c>
      <c r="C28">
        <v>2274</v>
      </c>
      <c r="D28" s="532">
        <v>2428482.5600000001</v>
      </c>
      <c r="E28" s="532">
        <v>47515646.829999998</v>
      </c>
      <c r="F28" s="532">
        <v>1088649819.24</v>
      </c>
      <c r="G28">
        <v>4.3646401248815962E-2</v>
      </c>
      <c r="H28" s="532">
        <v>50973.52</v>
      </c>
      <c r="I28" s="532">
        <v>824939.77</v>
      </c>
      <c r="J28" s="532">
        <v>46690707.060000002</v>
      </c>
      <c r="K28">
        <v>4.2888637130896107E-2</v>
      </c>
    </row>
    <row r="29" spans="1:11">
      <c r="A29">
        <v>44</v>
      </c>
      <c r="B29" t="s">
        <v>953</v>
      </c>
    </row>
    <row r="30" spans="1:11">
      <c r="A30">
        <v>44</v>
      </c>
      <c r="B30" t="s">
        <v>954</v>
      </c>
    </row>
    <row r="31" spans="1:11">
      <c r="A31">
        <v>44</v>
      </c>
      <c r="B31" t="s">
        <v>955</v>
      </c>
    </row>
    <row r="32" spans="1:11">
      <c r="A32">
        <v>44</v>
      </c>
      <c r="B32" t="s">
        <v>956</v>
      </c>
    </row>
    <row r="33" spans="1:2">
      <c r="A33">
        <v>44</v>
      </c>
      <c r="B33" t="s">
        <v>957</v>
      </c>
    </row>
    <row r="34" spans="1:2">
      <c r="A34">
        <v>44</v>
      </c>
      <c r="B34" t="s">
        <v>958</v>
      </c>
    </row>
    <row r="35" spans="1:2">
      <c r="A35">
        <v>44</v>
      </c>
      <c r="B35" t="s">
        <v>959</v>
      </c>
    </row>
    <row r="36" spans="1:2">
      <c r="A36">
        <v>44</v>
      </c>
      <c r="B36" t="s">
        <v>960</v>
      </c>
    </row>
    <row r="37" spans="1:2">
      <c r="A37">
        <v>44</v>
      </c>
      <c r="B37" t="s">
        <v>961</v>
      </c>
    </row>
    <row r="38" spans="1:2">
      <c r="A38">
        <v>44</v>
      </c>
      <c r="B38" t="s">
        <v>962</v>
      </c>
    </row>
    <row r="39" spans="1:2">
      <c r="A39">
        <v>44</v>
      </c>
      <c r="B39" t="s">
        <v>963</v>
      </c>
    </row>
    <row r="40" spans="1:2">
      <c r="A40">
        <v>44</v>
      </c>
      <c r="B40" t="s">
        <v>964</v>
      </c>
    </row>
    <row r="41" spans="1:2">
      <c r="A41">
        <v>44</v>
      </c>
      <c r="B41" t="s">
        <v>965</v>
      </c>
    </row>
    <row r="42" spans="1:2">
      <c r="A42">
        <v>44</v>
      </c>
      <c r="B42" t="s">
        <v>966</v>
      </c>
    </row>
    <row r="43" spans="1:2">
      <c r="A43">
        <v>44</v>
      </c>
      <c r="B43" t="s">
        <v>967</v>
      </c>
    </row>
    <row r="44" spans="1:2">
      <c r="A44">
        <v>44</v>
      </c>
      <c r="B44" t="s">
        <v>968</v>
      </c>
    </row>
    <row r="45" spans="1:2">
      <c r="A45">
        <v>44</v>
      </c>
      <c r="B45" t="s">
        <v>969</v>
      </c>
    </row>
    <row r="46" spans="1:2">
      <c r="A46">
        <v>44</v>
      </c>
      <c r="B46" t="s">
        <v>970</v>
      </c>
    </row>
    <row r="47" spans="1:2">
      <c r="A47">
        <v>44</v>
      </c>
      <c r="B47" t="s">
        <v>971</v>
      </c>
    </row>
    <row r="48" spans="1:2">
      <c r="A48">
        <v>44</v>
      </c>
      <c r="B48" t="s">
        <v>972</v>
      </c>
    </row>
    <row r="49" spans="1:2">
      <c r="A49">
        <v>44</v>
      </c>
      <c r="B49" t="s">
        <v>973</v>
      </c>
    </row>
    <row r="50" spans="1:2">
      <c r="A50">
        <v>44</v>
      </c>
      <c r="B50" t="s">
        <v>974</v>
      </c>
    </row>
    <row r="51" spans="1:2">
      <c r="A51">
        <v>44</v>
      </c>
      <c r="B51" t="s">
        <v>975</v>
      </c>
    </row>
    <row r="52" spans="1:2">
      <c r="A52">
        <v>44</v>
      </c>
      <c r="B52" t="s">
        <v>976</v>
      </c>
    </row>
    <row r="53" spans="1:2">
      <c r="A53">
        <v>44</v>
      </c>
      <c r="B53" t="s">
        <v>977</v>
      </c>
    </row>
    <row r="54" spans="1:2">
      <c r="A54">
        <v>44</v>
      </c>
      <c r="B54" t="s">
        <v>978</v>
      </c>
    </row>
    <row r="55" spans="1:2">
      <c r="A55">
        <v>44</v>
      </c>
      <c r="B55" t="s">
        <v>979</v>
      </c>
    </row>
    <row r="56" spans="1:2">
      <c r="A56">
        <v>44</v>
      </c>
      <c r="B56" t="s">
        <v>980</v>
      </c>
    </row>
    <row r="57" spans="1:2">
      <c r="A57">
        <v>44</v>
      </c>
      <c r="B57" t="s">
        <v>981</v>
      </c>
    </row>
    <row r="58" spans="1:2">
      <c r="A58">
        <v>44</v>
      </c>
      <c r="B58" t="s">
        <v>982</v>
      </c>
    </row>
    <row r="59" spans="1:2">
      <c r="A59">
        <v>44</v>
      </c>
      <c r="B59" t="s">
        <v>983</v>
      </c>
    </row>
    <row r="60" spans="1:2">
      <c r="A60">
        <v>44</v>
      </c>
      <c r="B60" t="s">
        <v>984</v>
      </c>
    </row>
    <row r="61" spans="1:2">
      <c r="A61">
        <v>44</v>
      </c>
      <c r="B61" t="s">
        <v>985</v>
      </c>
    </row>
    <row r="62" spans="1:2">
      <c r="A62">
        <v>44</v>
      </c>
      <c r="B62" t="s">
        <v>986</v>
      </c>
    </row>
    <row r="63" spans="1:2">
      <c r="A63">
        <v>44</v>
      </c>
      <c r="B63" t="s">
        <v>987</v>
      </c>
    </row>
    <row r="64" spans="1:2">
      <c r="A64">
        <v>44</v>
      </c>
      <c r="B64" t="s">
        <v>988</v>
      </c>
    </row>
    <row r="65" spans="1:2">
      <c r="A65">
        <v>44</v>
      </c>
      <c r="B65" t="s">
        <v>989</v>
      </c>
    </row>
    <row r="66" spans="1:2">
      <c r="A66">
        <v>44</v>
      </c>
      <c r="B66" t="s">
        <v>990</v>
      </c>
    </row>
    <row r="67" spans="1:2">
      <c r="A67">
        <v>44</v>
      </c>
      <c r="B67" t="s">
        <v>991</v>
      </c>
    </row>
    <row r="68" spans="1:2">
      <c r="A68">
        <v>44</v>
      </c>
      <c r="B68" t="s">
        <v>992</v>
      </c>
    </row>
    <row r="69" spans="1:2">
      <c r="A69">
        <v>44</v>
      </c>
      <c r="B69" t="s">
        <v>993</v>
      </c>
    </row>
    <row r="70" spans="1:2">
      <c r="A70">
        <v>44</v>
      </c>
      <c r="B70" t="s">
        <v>994</v>
      </c>
    </row>
    <row r="71" spans="1:2">
      <c r="A71">
        <v>44</v>
      </c>
      <c r="B71" t="s">
        <v>995</v>
      </c>
    </row>
    <row r="72" spans="1:2">
      <c r="A72">
        <v>44</v>
      </c>
      <c r="B72" t="s">
        <v>996</v>
      </c>
    </row>
    <row r="73" spans="1:2">
      <c r="A73">
        <v>44</v>
      </c>
      <c r="B73" t="s">
        <v>997</v>
      </c>
    </row>
    <row r="74" spans="1:2">
      <c r="A74">
        <v>44</v>
      </c>
      <c r="B74" t="s">
        <v>998</v>
      </c>
    </row>
    <row r="75" spans="1:2">
      <c r="A75">
        <v>44</v>
      </c>
      <c r="B75" t="s">
        <v>999</v>
      </c>
    </row>
    <row r="76" spans="1:2">
      <c r="A76">
        <v>44</v>
      </c>
      <c r="B76" t="s">
        <v>1000</v>
      </c>
    </row>
    <row r="77" spans="1:2">
      <c r="A77">
        <v>44</v>
      </c>
      <c r="B77" t="s">
        <v>1001</v>
      </c>
    </row>
    <row r="78" spans="1:2">
      <c r="A78">
        <v>44</v>
      </c>
      <c r="B78" t="s">
        <v>1002</v>
      </c>
    </row>
    <row r="79" spans="1:2">
      <c r="A79">
        <v>44</v>
      </c>
      <c r="B79" t="s">
        <v>1003</v>
      </c>
    </row>
    <row r="80" spans="1:2">
      <c r="A80">
        <v>44</v>
      </c>
      <c r="B80" t="s">
        <v>1004</v>
      </c>
    </row>
    <row r="81" spans="1:2">
      <c r="A81">
        <v>44</v>
      </c>
      <c r="B81" t="s">
        <v>1005</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28"/>
  <sheetViews>
    <sheetView workbookViewId="0"/>
  </sheetViews>
  <sheetFormatPr baseColWidth="10" defaultColWidth="8.7265625" defaultRowHeight="12.5"/>
  <cols>
    <col min="1" max="1" width="13" customWidth="1"/>
    <col min="2" max="2" width="41" customWidth="1"/>
    <col min="3" max="7" width="13" customWidth="1"/>
  </cols>
  <sheetData>
    <row r="1" spans="1:7">
      <c r="A1" t="s">
        <v>833</v>
      </c>
      <c r="B1" t="s">
        <v>827</v>
      </c>
      <c r="C1" t="s">
        <v>1006</v>
      </c>
      <c r="D1" t="s">
        <v>1007</v>
      </c>
      <c r="E1" t="s">
        <v>1008</v>
      </c>
      <c r="F1" t="s">
        <v>1009</v>
      </c>
      <c r="G1" t="s">
        <v>1010</v>
      </c>
    </row>
    <row r="2" spans="1:7">
      <c r="A2">
        <v>44</v>
      </c>
      <c r="B2" t="s">
        <v>1011</v>
      </c>
      <c r="C2">
        <v>799999981.55999994</v>
      </c>
      <c r="D2">
        <v>10261648.470000001</v>
      </c>
      <c r="E2">
        <v>12394844.209999999</v>
      </c>
      <c r="F2">
        <v>22656492.68</v>
      </c>
      <c r="G2">
        <v>0.17086975151042294</v>
      </c>
    </row>
    <row r="3" spans="1:7">
      <c r="A3">
        <v>44</v>
      </c>
      <c r="B3" t="s">
        <v>1012</v>
      </c>
      <c r="C3">
        <v>799999981.55999982</v>
      </c>
      <c r="D3">
        <v>10582715.700000007</v>
      </c>
      <c r="E3">
        <v>9485939.2199999951</v>
      </c>
      <c r="F3">
        <v>20068654.920000002</v>
      </c>
      <c r="G3">
        <v>0.13336675778769724</v>
      </c>
    </row>
    <row r="4" spans="1:7">
      <c r="A4">
        <v>44</v>
      </c>
      <c r="B4" t="s">
        <v>1013</v>
      </c>
      <c r="C4">
        <v>799999941.95999992</v>
      </c>
      <c r="D4">
        <v>10289028.229999999</v>
      </c>
      <c r="E4">
        <v>9151176.2500000019</v>
      </c>
      <c r="F4">
        <v>19440204.48</v>
      </c>
      <c r="G4">
        <v>0.12895252131821233</v>
      </c>
    </row>
    <row r="5" spans="1:7">
      <c r="A5">
        <v>44</v>
      </c>
      <c r="B5" t="s">
        <v>1014</v>
      </c>
      <c r="C5">
        <v>799999971.15999997</v>
      </c>
      <c r="D5">
        <v>9939918.8300000131</v>
      </c>
      <c r="E5">
        <v>10413806.879999988</v>
      </c>
      <c r="F5">
        <v>20353725.710000001</v>
      </c>
      <c r="G5">
        <v>0.14549481889488336</v>
      </c>
    </row>
    <row r="6" spans="1:7">
      <c r="A6">
        <v>44</v>
      </c>
      <c r="B6" t="s">
        <v>1015</v>
      </c>
      <c r="C6">
        <v>799999965.68999982</v>
      </c>
      <c r="D6">
        <v>9871476.7900000028</v>
      </c>
      <c r="E6">
        <v>6550441.0099999979</v>
      </c>
      <c r="F6">
        <v>16421917.800000001</v>
      </c>
      <c r="G6">
        <v>9.3950278242669993E-2</v>
      </c>
    </row>
    <row r="7" spans="1:7">
      <c r="A7">
        <v>44</v>
      </c>
      <c r="B7" t="s">
        <v>1016</v>
      </c>
      <c r="C7">
        <v>799999978.47999978</v>
      </c>
      <c r="D7">
        <v>10979167.32</v>
      </c>
      <c r="E7">
        <v>15537572.989999998</v>
      </c>
      <c r="F7">
        <v>26516740.309999999</v>
      </c>
      <c r="G7">
        <v>0.20971103059263285</v>
      </c>
    </row>
    <row r="8" spans="1:7">
      <c r="A8">
        <v>44</v>
      </c>
      <c r="B8" t="s">
        <v>1017</v>
      </c>
      <c r="C8">
        <v>799999981.26999986</v>
      </c>
      <c r="D8">
        <v>11106669.149999999</v>
      </c>
      <c r="E8">
        <v>12924974.650000002</v>
      </c>
      <c r="F8">
        <v>24031643.800000001</v>
      </c>
      <c r="G8">
        <v>0.17754198265391641</v>
      </c>
    </row>
    <row r="9" spans="1:7">
      <c r="A9">
        <v>44</v>
      </c>
      <c r="B9" t="s">
        <v>1018</v>
      </c>
      <c r="C9">
        <v>799999972.76999974</v>
      </c>
      <c r="D9">
        <v>11483029.039999992</v>
      </c>
      <c r="E9">
        <v>12487025.300000008</v>
      </c>
      <c r="F9">
        <v>23970054.34</v>
      </c>
      <c r="G9">
        <v>0.17203349805926094</v>
      </c>
    </row>
    <row r="10" spans="1:7">
      <c r="A10">
        <v>44</v>
      </c>
      <c r="B10" t="s">
        <v>1019</v>
      </c>
      <c r="C10">
        <v>799999975.17999971</v>
      </c>
      <c r="D10">
        <v>11025237.619999994</v>
      </c>
      <c r="E10">
        <v>14344913.090000007</v>
      </c>
      <c r="F10">
        <v>25370150.710000001</v>
      </c>
      <c r="G10">
        <v>0.19517163387971848</v>
      </c>
    </row>
    <row r="11" spans="1:7">
      <c r="A11">
        <v>44</v>
      </c>
      <c r="B11" t="s">
        <v>1020</v>
      </c>
      <c r="C11">
        <v>799999960.75999975</v>
      </c>
      <c r="D11">
        <v>11163027.209999995</v>
      </c>
      <c r="E11">
        <v>12122966.330000004</v>
      </c>
      <c r="F11">
        <v>23285993.539999999</v>
      </c>
      <c r="G11">
        <v>0.16742868123041288</v>
      </c>
    </row>
    <row r="12" spans="1:7">
      <c r="A12">
        <v>44</v>
      </c>
      <c r="B12" t="s">
        <v>1021</v>
      </c>
      <c r="C12">
        <v>799999954.80999982</v>
      </c>
      <c r="D12">
        <v>11145369.149999991</v>
      </c>
      <c r="E12">
        <v>12397144.780000009</v>
      </c>
      <c r="F12">
        <v>23542513.93</v>
      </c>
      <c r="G12">
        <v>0.17089881864260947</v>
      </c>
    </row>
    <row r="13" spans="1:7">
      <c r="A13">
        <v>44</v>
      </c>
      <c r="B13" t="s">
        <v>1022</v>
      </c>
      <c r="C13">
        <v>799999976.96000004</v>
      </c>
      <c r="D13">
        <v>12305618.009999996</v>
      </c>
      <c r="E13">
        <v>15468810.660000006</v>
      </c>
      <c r="F13">
        <v>27774428.670000002</v>
      </c>
      <c r="G13">
        <v>0.208879353354677</v>
      </c>
    </row>
    <row r="14" spans="1:7">
      <c r="A14">
        <v>44</v>
      </c>
      <c r="B14" t="s">
        <v>1023</v>
      </c>
      <c r="C14">
        <v>799999953.42999995</v>
      </c>
      <c r="D14">
        <v>11190351.489999993</v>
      </c>
      <c r="E14">
        <v>13033181.790000008</v>
      </c>
      <c r="F14">
        <v>24223533.280000001</v>
      </c>
      <c r="G14">
        <v>0.17889782201903159</v>
      </c>
    </row>
    <row r="15" spans="1:7">
      <c r="A15">
        <v>44</v>
      </c>
      <c r="B15" t="s">
        <v>1024</v>
      </c>
      <c r="C15">
        <v>773493852.49000001</v>
      </c>
      <c r="D15">
        <v>10673564.679999989</v>
      </c>
      <c r="E15">
        <v>12207476.800000012</v>
      </c>
      <c r="F15">
        <v>22881041.48</v>
      </c>
      <c r="G15">
        <v>0.17378268219996607</v>
      </c>
    </row>
    <row r="16" spans="1:7">
      <c r="A16">
        <v>44</v>
      </c>
      <c r="B16" t="s">
        <v>1025</v>
      </c>
      <c r="C16">
        <v>749195329.34000003</v>
      </c>
      <c r="D16">
        <v>10816233.129999995</v>
      </c>
      <c r="E16">
        <v>12190468.270000003</v>
      </c>
      <c r="F16">
        <v>23006701.399999999</v>
      </c>
      <c r="G16">
        <v>0.1786968404237913</v>
      </c>
    </row>
    <row r="17" spans="1:7">
      <c r="A17">
        <v>44</v>
      </c>
      <c r="B17" t="s">
        <v>1035</v>
      </c>
      <c r="C17">
        <v>723934669.34000003</v>
      </c>
      <c r="D17">
        <v>10391715.339999992</v>
      </c>
      <c r="E17">
        <v>9366010.9100000076</v>
      </c>
      <c r="F17">
        <v>19757726.25</v>
      </c>
      <c r="G17">
        <v>0.14466733378239882</v>
      </c>
    </row>
    <row r="18" spans="1:7">
      <c r="A18">
        <v>44</v>
      </c>
      <c r="B18" t="s">
        <v>1036</v>
      </c>
      <c r="C18">
        <v>702538142.62</v>
      </c>
      <c r="D18">
        <v>9800878.3299999982</v>
      </c>
      <c r="E18">
        <v>5164945.9700000016</v>
      </c>
      <c r="F18">
        <v>14965824.300000001</v>
      </c>
      <c r="G18">
        <v>8.474076814582554E-2</v>
      </c>
    </row>
    <row r="19" spans="1:7">
      <c r="A19">
        <v>44</v>
      </c>
      <c r="B19" t="s">
        <v>1609</v>
      </c>
      <c r="C19">
        <v>685574203.97000003</v>
      </c>
      <c r="D19">
        <v>10489266.93999999</v>
      </c>
      <c r="E19">
        <v>9446739.0000000112</v>
      </c>
      <c r="F19">
        <v>19936005.940000001</v>
      </c>
      <c r="G19">
        <v>0.15337845480875234</v>
      </c>
    </row>
    <row r="20" spans="1:7">
      <c r="A20">
        <v>44</v>
      </c>
      <c r="B20" t="s">
        <v>1610</v>
      </c>
      <c r="C20">
        <v>663385495.13</v>
      </c>
      <c r="D20">
        <v>9971135.7500000056</v>
      </c>
      <c r="E20">
        <v>8139337.3699999955</v>
      </c>
      <c r="F20">
        <v>18110473.120000001</v>
      </c>
      <c r="G20">
        <v>0.13769254975135714</v>
      </c>
    </row>
    <row r="21" spans="1:7">
      <c r="A21">
        <v>44</v>
      </c>
      <c r="B21" t="s">
        <v>1611</v>
      </c>
      <c r="C21">
        <v>642933391.97000003</v>
      </c>
      <c r="D21">
        <v>9882574.9799999986</v>
      </c>
      <c r="E21">
        <v>8282281.160000002</v>
      </c>
      <c r="F21">
        <v>18164856.140000001</v>
      </c>
      <c r="G21">
        <v>0.14408872554833385</v>
      </c>
    </row>
    <row r="22" spans="1:7">
      <c r="A22">
        <v>44</v>
      </c>
      <c r="B22" t="s">
        <v>1612</v>
      </c>
      <c r="C22">
        <v>622702749.44000006</v>
      </c>
      <c r="D22">
        <v>9434955.0700000003</v>
      </c>
      <c r="E22">
        <v>7989945.6499999985</v>
      </c>
      <c r="F22">
        <v>17424900.719999999</v>
      </c>
      <c r="G22">
        <v>0.14355848762300172</v>
      </c>
    </row>
    <row r="23" spans="1:7">
      <c r="A23">
        <v>44</v>
      </c>
      <c r="B23" t="s">
        <v>1613</v>
      </c>
      <c r="C23">
        <v>603149210.98000002</v>
      </c>
      <c r="D23">
        <v>9443670.0199999977</v>
      </c>
      <c r="E23">
        <v>8150790.8600000013</v>
      </c>
      <c r="F23">
        <v>17594460.879999999</v>
      </c>
      <c r="G23">
        <v>0.15063847835732547</v>
      </c>
    </row>
    <row r="24" spans="1:7">
      <c r="A24">
        <v>44</v>
      </c>
      <c r="B24" t="s">
        <v>1614</v>
      </c>
      <c r="C24">
        <v>583440638.30999994</v>
      </c>
      <c r="D24">
        <v>9159227.8700000029</v>
      </c>
      <c r="E24">
        <v>6921439.0699999966</v>
      </c>
      <c r="F24">
        <v>16080666.939999999</v>
      </c>
      <c r="G24">
        <v>0.13342692992347571</v>
      </c>
    </row>
    <row r="25" spans="1:7">
      <c r="A25">
        <v>44</v>
      </c>
      <c r="B25" t="s">
        <v>1615</v>
      </c>
      <c r="C25">
        <v>565909952.76999998</v>
      </c>
      <c r="D25">
        <v>8990452.6700000037</v>
      </c>
      <c r="E25">
        <v>8514965.9999999981</v>
      </c>
      <c r="F25">
        <v>17505418.670000002</v>
      </c>
      <c r="G25">
        <v>0.16634047665290508</v>
      </c>
    </row>
    <row r="26" spans="1:7">
      <c r="A26">
        <v>44</v>
      </c>
      <c r="B26" t="s">
        <v>1616</v>
      </c>
      <c r="C26">
        <v>545962122.88999999</v>
      </c>
      <c r="D26">
        <v>8771977.9599999972</v>
      </c>
      <c r="E26">
        <v>5962381.910000002</v>
      </c>
      <c r="F26">
        <v>14734359.869999999</v>
      </c>
      <c r="G26">
        <v>0.12345856054353166</v>
      </c>
    </row>
    <row r="27" spans="1:7">
      <c r="A27">
        <v>44</v>
      </c>
      <c r="B27" t="s">
        <v>1617</v>
      </c>
      <c r="C27">
        <v>528523069.44999999</v>
      </c>
      <c r="D27">
        <v>8969960.3400000036</v>
      </c>
      <c r="E27">
        <v>6635839.2199999979</v>
      </c>
      <c r="F27">
        <v>15605799.560000001</v>
      </c>
      <c r="G27">
        <v>0.14068446479583352</v>
      </c>
    </row>
    <row r="28" spans="1:7">
      <c r="A28">
        <v>44</v>
      </c>
      <c r="B28" t="s">
        <v>1618</v>
      </c>
      <c r="C28">
        <v>510138365.52999997</v>
      </c>
      <c r="D28">
        <v>8569526.9700000025</v>
      </c>
      <c r="E28">
        <v>6497243.5799999982</v>
      </c>
      <c r="F28">
        <v>15066770.550000001</v>
      </c>
      <c r="G28">
        <v>0.14257062841221446</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9"/>
  <sheetViews>
    <sheetView topLeftCell="E1" workbookViewId="0">
      <selection activeCell="H36" sqref="H36"/>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1026</v>
      </c>
      <c r="B1" t="s">
        <v>1027</v>
      </c>
      <c r="C1" t="s">
        <v>412</v>
      </c>
      <c r="D1" t="s">
        <v>263</v>
      </c>
      <c r="E1" t="s">
        <v>1028</v>
      </c>
      <c r="F1" t="s">
        <v>408</v>
      </c>
      <c r="G1" t="s">
        <v>242</v>
      </c>
      <c r="H1" t="s">
        <v>1029</v>
      </c>
      <c r="I1" t="s">
        <v>406</v>
      </c>
      <c r="J1" t="s">
        <v>1030</v>
      </c>
      <c r="K1" t="s">
        <v>407</v>
      </c>
      <c r="L1" t="s">
        <v>409</v>
      </c>
      <c r="M1" t="s">
        <v>551</v>
      </c>
      <c r="N1" t="s">
        <v>789</v>
      </c>
      <c r="O1" t="s">
        <v>1031</v>
      </c>
      <c r="P1" t="s">
        <v>1032</v>
      </c>
      <c r="Q1" t="s">
        <v>790</v>
      </c>
      <c r="R1" t="s">
        <v>1033</v>
      </c>
      <c r="S1" t="s">
        <v>1034</v>
      </c>
    </row>
    <row r="2" spans="1:19">
      <c r="A2">
        <v>44</v>
      </c>
      <c r="B2" t="s">
        <v>104</v>
      </c>
      <c r="C2" t="s">
        <v>1619</v>
      </c>
      <c r="D2" t="s">
        <v>1620</v>
      </c>
      <c r="E2" t="s">
        <v>1621</v>
      </c>
      <c r="F2" t="s">
        <v>1622</v>
      </c>
      <c r="G2" t="s">
        <v>1623</v>
      </c>
      <c r="H2" t="s">
        <v>1624</v>
      </c>
      <c r="I2" t="s">
        <v>393</v>
      </c>
      <c r="J2" t="s">
        <v>394</v>
      </c>
      <c r="K2" t="s">
        <v>394</v>
      </c>
      <c r="L2" t="s">
        <v>1623</v>
      </c>
      <c r="M2" t="s">
        <v>1625</v>
      </c>
      <c r="N2" t="s">
        <v>1626</v>
      </c>
      <c r="O2" t="s">
        <v>1626</v>
      </c>
      <c r="P2" t="s">
        <v>1627</v>
      </c>
      <c r="Q2" t="s">
        <v>1623</v>
      </c>
      <c r="S2" t="s">
        <v>1381</v>
      </c>
    </row>
    <row r="3" spans="1:19">
      <c r="A3">
        <v>44</v>
      </c>
      <c r="B3" t="s">
        <v>441</v>
      </c>
      <c r="C3" t="s">
        <v>1628</v>
      </c>
      <c r="D3" t="s">
        <v>1629</v>
      </c>
      <c r="E3" t="s">
        <v>1621</v>
      </c>
      <c r="F3" t="s">
        <v>1622</v>
      </c>
      <c r="G3" t="s">
        <v>1623</v>
      </c>
      <c r="H3" t="s">
        <v>1630</v>
      </c>
      <c r="I3" t="s">
        <v>1630</v>
      </c>
      <c r="J3" t="s">
        <v>1631</v>
      </c>
      <c r="K3" t="s">
        <v>1631</v>
      </c>
      <c r="L3" t="s">
        <v>1623</v>
      </c>
      <c r="M3" t="s">
        <v>1632</v>
      </c>
      <c r="N3" t="s">
        <v>1633</v>
      </c>
      <c r="O3" t="s">
        <v>1633</v>
      </c>
      <c r="P3" t="s">
        <v>1634</v>
      </c>
      <c r="Q3" t="s">
        <v>1623</v>
      </c>
      <c r="S3" t="s">
        <v>1381</v>
      </c>
    </row>
    <row r="4" spans="1:19">
      <c r="A4">
        <v>44</v>
      </c>
      <c r="B4" t="s">
        <v>444</v>
      </c>
      <c r="C4" t="s">
        <v>1628</v>
      </c>
      <c r="D4" t="s">
        <v>35</v>
      </c>
      <c r="E4" t="s">
        <v>1621</v>
      </c>
      <c r="F4" t="s">
        <v>1622</v>
      </c>
      <c r="G4" t="s">
        <v>1623</v>
      </c>
      <c r="H4" t="s">
        <v>35</v>
      </c>
      <c r="I4" t="s">
        <v>1630</v>
      </c>
      <c r="J4" t="s">
        <v>35</v>
      </c>
      <c r="K4" t="s">
        <v>1631</v>
      </c>
      <c r="L4" t="s">
        <v>1623</v>
      </c>
      <c r="M4" t="s">
        <v>35</v>
      </c>
      <c r="N4" t="s">
        <v>1633</v>
      </c>
      <c r="O4" t="s">
        <v>1633</v>
      </c>
      <c r="P4" t="s">
        <v>1634</v>
      </c>
      <c r="Q4" t="s">
        <v>1623</v>
      </c>
      <c r="S4" t="s">
        <v>1381</v>
      </c>
    </row>
    <row r="5" spans="1:19">
      <c r="A5">
        <v>44</v>
      </c>
      <c r="B5" t="s">
        <v>256</v>
      </c>
      <c r="C5" t="s">
        <v>35</v>
      </c>
      <c r="D5" t="s">
        <v>35</v>
      </c>
      <c r="E5" t="s">
        <v>35</v>
      </c>
      <c r="F5" t="s">
        <v>35</v>
      </c>
      <c r="G5" t="s">
        <v>35</v>
      </c>
      <c r="H5" t="s">
        <v>35</v>
      </c>
      <c r="I5" t="s">
        <v>35</v>
      </c>
      <c r="J5" t="s">
        <v>35</v>
      </c>
      <c r="K5" t="s">
        <v>35</v>
      </c>
      <c r="L5" t="s">
        <v>35</v>
      </c>
      <c r="M5" t="s">
        <v>35</v>
      </c>
      <c r="N5" t="s">
        <v>35</v>
      </c>
      <c r="O5" t="s">
        <v>35</v>
      </c>
      <c r="P5" t="s">
        <v>35</v>
      </c>
      <c r="Q5" t="s">
        <v>35</v>
      </c>
      <c r="S5" t="s">
        <v>1381</v>
      </c>
    </row>
    <row r="6" spans="1:19">
      <c r="A6">
        <v>44</v>
      </c>
      <c r="B6" t="s">
        <v>576</v>
      </c>
      <c r="C6" t="s">
        <v>1635</v>
      </c>
      <c r="D6" t="s">
        <v>1629</v>
      </c>
      <c r="E6" t="s">
        <v>1621</v>
      </c>
      <c r="F6" t="s">
        <v>1622</v>
      </c>
      <c r="G6" t="s">
        <v>1623</v>
      </c>
      <c r="H6" t="s">
        <v>1636</v>
      </c>
      <c r="I6" t="s">
        <v>1636</v>
      </c>
      <c r="J6" t="s">
        <v>1631</v>
      </c>
      <c r="K6" t="s">
        <v>1631</v>
      </c>
      <c r="L6" t="s">
        <v>1623</v>
      </c>
      <c r="M6" t="s">
        <v>1632</v>
      </c>
      <c r="N6" t="s">
        <v>1637</v>
      </c>
      <c r="O6" t="s">
        <v>1637</v>
      </c>
      <c r="P6" t="s">
        <v>1627</v>
      </c>
      <c r="Q6" t="s">
        <v>1623</v>
      </c>
      <c r="S6" t="s">
        <v>1381</v>
      </c>
    </row>
    <row r="7" spans="1:19">
      <c r="A7">
        <v>44</v>
      </c>
      <c r="B7" t="s">
        <v>574</v>
      </c>
      <c r="C7" t="s">
        <v>1638</v>
      </c>
      <c r="D7" t="s">
        <v>1620</v>
      </c>
      <c r="E7" t="s">
        <v>1621</v>
      </c>
      <c r="F7" t="s">
        <v>1622</v>
      </c>
      <c r="G7" t="s">
        <v>1623</v>
      </c>
      <c r="H7" t="s">
        <v>393</v>
      </c>
      <c r="I7" t="s">
        <v>1639</v>
      </c>
      <c r="J7" t="s">
        <v>394</v>
      </c>
      <c r="K7" t="s">
        <v>394</v>
      </c>
      <c r="L7" t="s">
        <v>1623</v>
      </c>
      <c r="M7" t="s">
        <v>1640</v>
      </c>
      <c r="N7" t="s">
        <v>1626</v>
      </c>
      <c r="O7" t="s">
        <v>1626</v>
      </c>
      <c r="P7" t="s">
        <v>1627</v>
      </c>
      <c r="Q7" t="s">
        <v>1623</v>
      </c>
      <c r="S7" t="s">
        <v>1381</v>
      </c>
    </row>
    <row r="8" spans="1:19">
      <c r="A8">
        <v>44</v>
      </c>
      <c r="B8" t="s">
        <v>785</v>
      </c>
      <c r="C8" t="s">
        <v>35</v>
      </c>
      <c r="D8" t="s">
        <v>392</v>
      </c>
      <c r="E8" t="s">
        <v>35</v>
      </c>
      <c r="F8" t="s">
        <v>35</v>
      </c>
      <c r="G8" t="s">
        <v>1623</v>
      </c>
      <c r="H8" t="s">
        <v>1624</v>
      </c>
      <c r="I8" t="s">
        <v>1624</v>
      </c>
      <c r="J8" t="s">
        <v>35</v>
      </c>
      <c r="K8" t="s">
        <v>394</v>
      </c>
      <c r="L8" t="s">
        <v>1623</v>
      </c>
      <c r="M8" t="s">
        <v>1625</v>
      </c>
      <c r="N8" t="s">
        <v>1626</v>
      </c>
      <c r="O8" t="s">
        <v>35</v>
      </c>
      <c r="P8" t="s">
        <v>1627</v>
      </c>
      <c r="Q8" t="s">
        <v>1623</v>
      </c>
      <c r="S8" t="s">
        <v>1381</v>
      </c>
    </row>
    <row r="9" spans="1:19">
      <c r="A9">
        <v>44</v>
      </c>
      <c r="B9" t="s">
        <v>414</v>
      </c>
      <c r="C9" t="s">
        <v>35</v>
      </c>
      <c r="D9" t="s">
        <v>35</v>
      </c>
      <c r="E9" t="s">
        <v>35</v>
      </c>
      <c r="F9" t="s">
        <v>35</v>
      </c>
      <c r="G9" t="s">
        <v>35</v>
      </c>
      <c r="H9" t="s">
        <v>35</v>
      </c>
      <c r="I9" t="s">
        <v>35</v>
      </c>
      <c r="J9" t="s">
        <v>35</v>
      </c>
      <c r="K9" t="s">
        <v>35</v>
      </c>
      <c r="L9" t="s">
        <v>35</v>
      </c>
      <c r="M9" t="s">
        <v>35</v>
      </c>
      <c r="N9" t="s">
        <v>35</v>
      </c>
      <c r="O9" t="s">
        <v>35</v>
      </c>
      <c r="P9" t="s">
        <v>35</v>
      </c>
      <c r="Q9" t="s">
        <v>35</v>
      </c>
      <c r="S9" t="s">
        <v>1381</v>
      </c>
    </row>
    <row r="10" spans="1:19">
      <c r="A10">
        <v>44</v>
      </c>
      <c r="B10" t="s">
        <v>1641</v>
      </c>
      <c r="C10" t="s">
        <v>1642</v>
      </c>
      <c r="D10" t="s">
        <v>1643</v>
      </c>
      <c r="E10" t="s">
        <v>1644</v>
      </c>
      <c r="F10" t="s">
        <v>1645</v>
      </c>
      <c r="G10" t="s">
        <v>1646</v>
      </c>
      <c r="H10" t="s">
        <v>1647</v>
      </c>
      <c r="I10" t="s">
        <v>1648</v>
      </c>
      <c r="J10" t="s">
        <v>1649</v>
      </c>
      <c r="K10" t="s">
        <v>1650</v>
      </c>
      <c r="L10" t="s">
        <v>1651</v>
      </c>
      <c r="M10" t="s">
        <v>1652</v>
      </c>
      <c r="N10" t="s">
        <v>1653</v>
      </c>
      <c r="O10" t="s">
        <v>1654</v>
      </c>
      <c r="P10" t="s">
        <v>1655</v>
      </c>
      <c r="Q10" t="s">
        <v>1656</v>
      </c>
      <c r="R10" t="s">
        <v>1657</v>
      </c>
      <c r="S10" t="s">
        <v>1381</v>
      </c>
    </row>
    <row r="11" spans="1:19">
      <c r="A11">
        <v>44</v>
      </c>
      <c r="B11" t="s">
        <v>197</v>
      </c>
      <c r="C11" t="s">
        <v>1638</v>
      </c>
      <c r="D11" t="s">
        <v>1620</v>
      </c>
      <c r="E11" t="s">
        <v>1621</v>
      </c>
      <c r="F11" t="s">
        <v>35</v>
      </c>
      <c r="G11" t="s">
        <v>1623</v>
      </c>
      <c r="H11" t="s">
        <v>35</v>
      </c>
      <c r="I11" t="s">
        <v>393</v>
      </c>
      <c r="J11" t="s">
        <v>394</v>
      </c>
      <c r="K11" t="s">
        <v>394</v>
      </c>
      <c r="L11" t="s">
        <v>1623</v>
      </c>
      <c r="M11" t="s">
        <v>1625</v>
      </c>
      <c r="N11" t="s">
        <v>35</v>
      </c>
      <c r="O11" t="s">
        <v>35</v>
      </c>
      <c r="P11" t="s">
        <v>35</v>
      </c>
      <c r="Q11" t="s">
        <v>35</v>
      </c>
      <c r="S11" t="s">
        <v>1381</v>
      </c>
    </row>
    <row r="12" spans="1:19">
      <c r="A12">
        <v>44</v>
      </c>
      <c r="B12" t="s">
        <v>110</v>
      </c>
      <c r="C12" t="s">
        <v>1619</v>
      </c>
      <c r="D12" t="s">
        <v>1620</v>
      </c>
      <c r="E12" t="s">
        <v>1621</v>
      </c>
      <c r="F12" t="s">
        <v>1622</v>
      </c>
      <c r="G12" t="s">
        <v>1623</v>
      </c>
      <c r="H12" t="s">
        <v>1624</v>
      </c>
      <c r="I12" t="s">
        <v>393</v>
      </c>
      <c r="J12" t="s">
        <v>394</v>
      </c>
      <c r="K12" t="s">
        <v>394</v>
      </c>
      <c r="L12" t="s">
        <v>1623</v>
      </c>
      <c r="M12" t="s">
        <v>35</v>
      </c>
      <c r="N12" t="s">
        <v>35</v>
      </c>
      <c r="O12" t="s">
        <v>35</v>
      </c>
      <c r="P12" t="s">
        <v>35</v>
      </c>
      <c r="Q12" t="s">
        <v>35</v>
      </c>
      <c r="S12" t="s">
        <v>1381</v>
      </c>
    </row>
    <row r="13" spans="1:19">
      <c r="A13">
        <v>44</v>
      </c>
      <c r="B13" t="s">
        <v>570</v>
      </c>
      <c r="C13" t="s">
        <v>1619</v>
      </c>
      <c r="D13" t="s">
        <v>1620</v>
      </c>
      <c r="E13" t="s">
        <v>1621</v>
      </c>
      <c r="F13" t="s">
        <v>1622</v>
      </c>
      <c r="G13" t="s">
        <v>1623</v>
      </c>
      <c r="H13" t="s">
        <v>1624</v>
      </c>
      <c r="I13" t="s">
        <v>393</v>
      </c>
      <c r="J13" t="s">
        <v>394</v>
      </c>
      <c r="K13" t="s">
        <v>394</v>
      </c>
      <c r="L13" t="s">
        <v>1623</v>
      </c>
      <c r="M13" t="s">
        <v>1625</v>
      </c>
      <c r="N13" t="s">
        <v>1626</v>
      </c>
      <c r="O13" t="s">
        <v>1626</v>
      </c>
      <c r="P13" t="s">
        <v>1627</v>
      </c>
      <c r="Q13" t="s">
        <v>1623</v>
      </c>
      <c r="S13" t="s">
        <v>1381</v>
      </c>
    </row>
    <row r="14" spans="1:19">
      <c r="A14">
        <v>44</v>
      </c>
      <c r="B14" t="s">
        <v>592</v>
      </c>
      <c r="C14" t="s">
        <v>1381</v>
      </c>
      <c r="D14" t="s">
        <v>1381</v>
      </c>
      <c r="E14" t="s">
        <v>1381</v>
      </c>
      <c r="F14" t="s">
        <v>1381</v>
      </c>
      <c r="G14" t="s">
        <v>1381</v>
      </c>
      <c r="H14" t="s">
        <v>1381</v>
      </c>
      <c r="I14" t="s">
        <v>1381</v>
      </c>
      <c r="J14" t="s">
        <v>1381</v>
      </c>
      <c r="K14" t="s">
        <v>1381</v>
      </c>
      <c r="L14" t="s">
        <v>1381</v>
      </c>
      <c r="M14" t="s">
        <v>1381</v>
      </c>
      <c r="N14" t="s">
        <v>1381</v>
      </c>
      <c r="O14" t="s">
        <v>1381</v>
      </c>
      <c r="P14" t="s">
        <v>1381</v>
      </c>
      <c r="Q14" t="s">
        <v>1381</v>
      </c>
      <c r="S14" t="s">
        <v>807</v>
      </c>
    </row>
    <row r="15" spans="1:19">
      <c r="A15">
        <v>44</v>
      </c>
      <c r="B15" t="s">
        <v>788</v>
      </c>
      <c r="C15" t="s">
        <v>1381</v>
      </c>
      <c r="D15" t="s">
        <v>1381</v>
      </c>
      <c r="E15" t="s">
        <v>1381</v>
      </c>
      <c r="F15" t="s">
        <v>1381</v>
      </c>
      <c r="G15" t="s">
        <v>1381</v>
      </c>
      <c r="H15" t="s">
        <v>1381</v>
      </c>
      <c r="I15" t="s">
        <v>1381</v>
      </c>
      <c r="J15" t="s">
        <v>1381</v>
      </c>
      <c r="K15" t="s">
        <v>1381</v>
      </c>
      <c r="L15" t="s">
        <v>1381</v>
      </c>
      <c r="M15" t="s">
        <v>1381</v>
      </c>
      <c r="N15" t="s">
        <v>1381</v>
      </c>
      <c r="O15" t="s">
        <v>1381</v>
      </c>
      <c r="P15" t="s">
        <v>1381</v>
      </c>
      <c r="Q15" t="s">
        <v>1381</v>
      </c>
      <c r="S15" t="s">
        <v>808</v>
      </c>
    </row>
    <row r="16" spans="1:19">
      <c r="A16">
        <v>44</v>
      </c>
      <c r="B16" t="s">
        <v>593</v>
      </c>
      <c r="C16" t="s">
        <v>1381</v>
      </c>
      <c r="D16" t="s">
        <v>1381</v>
      </c>
      <c r="E16" t="s">
        <v>1381</v>
      </c>
      <c r="F16" t="s">
        <v>1381</v>
      </c>
      <c r="G16" t="s">
        <v>1381</v>
      </c>
      <c r="H16" t="s">
        <v>1381</v>
      </c>
      <c r="I16" t="s">
        <v>1381</v>
      </c>
      <c r="J16" t="s">
        <v>1381</v>
      </c>
      <c r="K16" t="s">
        <v>1381</v>
      </c>
      <c r="L16" t="s">
        <v>1381</v>
      </c>
      <c r="M16" t="s">
        <v>1381</v>
      </c>
      <c r="N16" t="s">
        <v>1381</v>
      </c>
      <c r="O16" t="s">
        <v>1381</v>
      </c>
      <c r="P16" t="s">
        <v>1381</v>
      </c>
      <c r="Q16" t="s">
        <v>1381</v>
      </c>
      <c r="S16" t="s">
        <v>809</v>
      </c>
    </row>
    <row r="17" spans="1:19">
      <c r="A17">
        <v>44</v>
      </c>
      <c r="B17" t="s">
        <v>787</v>
      </c>
      <c r="C17" t="s">
        <v>1381</v>
      </c>
      <c r="D17" t="s">
        <v>1381</v>
      </c>
      <c r="E17" t="s">
        <v>1381</v>
      </c>
      <c r="F17" t="s">
        <v>1381</v>
      </c>
      <c r="G17" t="s">
        <v>1381</v>
      </c>
      <c r="H17" t="s">
        <v>1381</v>
      </c>
      <c r="I17" t="s">
        <v>1381</v>
      </c>
      <c r="J17" t="s">
        <v>1381</v>
      </c>
      <c r="K17" t="s">
        <v>1381</v>
      </c>
      <c r="L17" t="s">
        <v>1381</v>
      </c>
      <c r="M17" t="s">
        <v>1381</v>
      </c>
      <c r="N17" t="s">
        <v>1381</v>
      </c>
      <c r="O17" t="s">
        <v>1381</v>
      </c>
      <c r="P17" t="s">
        <v>1381</v>
      </c>
      <c r="Q17" t="s">
        <v>1381</v>
      </c>
      <c r="S17" t="s">
        <v>810</v>
      </c>
    </row>
    <row r="18" spans="1:19">
      <c r="A18">
        <v>44</v>
      </c>
      <c r="B18" t="s">
        <v>594</v>
      </c>
      <c r="C18" t="s">
        <v>1381</v>
      </c>
      <c r="D18" t="s">
        <v>1381</v>
      </c>
      <c r="E18" t="s">
        <v>1381</v>
      </c>
      <c r="F18" t="s">
        <v>1381</v>
      </c>
      <c r="G18" t="s">
        <v>1381</v>
      </c>
      <c r="H18" t="s">
        <v>1381</v>
      </c>
      <c r="I18" t="s">
        <v>1381</v>
      </c>
      <c r="J18" t="s">
        <v>1381</v>
      </c>
      <c r="K18" t="s">
        <v>1381</v>
      </c>
      <c r="L18" t="s">
        <v>1381</v>
      </c>
      <c r="M18" t="s">
        <v>1381</v>
      </c>
      <c r="N18" t="s">
        <v>1381</v>
      </c>
      <c r="O18" t="s">
        <v>1381</v>
      </c>
      <c r="P18" t="s">
        <v>1381</v>
      </c>
      <c r="Q18" t="s">
        <v>1381</v>
      </c>
      <c r="S18" t="s">
        <v>811</v>
      </c>
    </row>
    <row r="19" spans="1:19">
      <c r="A19">
        <v>44</v>
      </c>
      <c r="B19" t="s">
        <v>595</v>
      </c>
      <c r="C19" t="s">
        <v>1381</v>
      </c>
      <c r="D19" t="s">
        <v>1381</v>
      </c>
      <c r="E19" t="s">
        <v>1381</v>
      </c>
      <c r="F19" t="s">
        <v>1381</v>
      </c>
      <c r="G19" t="s">
        <v>1381</v>
      </c>
      <c r="H19" t="s">
        <v>1381</v>
      </c>
      <c r="I19" t="s">
        <v>1381</v>
      </c>
      <c r="J19" t="s">
        <v>1381</v>
      </c>
      <c r="K19" t="s">
        <v>1381</v>
      </c>
      <c r="L19" t="s">
        <v>1381</v>
      </c>
      <c r="M19" t="s">
        <v>1381</v>
      </c>
      <c r="N19" t="s">
        <v>1381</v>
      </c>
      <c r="O19" t="s">
        <v>1381</v>
      </c>
      <c r="P19" t="s">
        <v>1381</v>
      </c>
      <c r="Q19" t="s">
        <v>1381</v>
      </c>
      <c r="S19" t="s">
        <v>812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23" customWidth="1"/>
    <col min="2" max="2" width="60.81640625" style="123" customWidth="1"/>
    <col min="3" max="3" width="14.81640625" style="123" customWidth="1"/>
    <col min="4" max="4" width="20.81640625" style="123" customWidth="1"/>
    <col min="5" max="5" width="4.81640625" style="123" customWidth="1"/>
    <col min="6" max="6" width="18.81640625" style="123" customWidth="1"/>
    <col min="7" max="7" width="4.81640625" style="123" customWidth="1"/>
    <col min="8" max="8" width="18.81640625" style="123" customWidth="1"/>
    <col min="9" max="9" width="4.81640625" style="123" customWidth="1"/>
    <col min="10" max="10" width="18.81640625" style="123" customWidth="1"/>
    <col min="11" max="11" width="1.1796875" style="123" customWidth="1"/>
    <col min="12" max="16384" width="9.1796875" style="123"/>
  </cols>
  <sheetData>
    <row r="1" spans="1:13" ht="6" customHeight="1">
      <c r="A1" s="130"/>
      <c r="B1" s="131"/>
      <c r="C1" s="131"/>
      <c r="D1" s="131"/>
      <c r="E1" s="131"/>
      <c r="F1" s="131"/>
      <c r="G1" s="131"/>
      <c r="H1" s="131"/>
      <c r="I1" s="131"/>
      <c r="J1" s="131"/>
      <c r="K1" s="132"/>
    </row>
    <row r="2" spans="1:13" ht="18">
      <c r="A2" s="133"/>
      <c r="B2" s="134" t="str">
        <f>'Cover Sheet'!B2</f>
        <v>SC Germany Consumer 2023-1</v>
      </c>
      <c r="C2" s="134"/>
      <c r="D2" s="135" t="str">
        <f>'Cover Sheet'!D2</f>
        <v>Calculation Date</v>
      </c>
      <c r="E2" s="136"/>
      <c r="F2" s="137">
        <f>'Cover Sheet'!F2</f>
        <v>45973</v>
      </c>
      <c r="G2" s="136"/>
      <c r="H2" s="136"/>
      <c r="I2" s="136"/>
      <c r="J2" s="138"/>
      <c r="K2" s="139"/>
      <c r="L2" s="163"/>
    </row>
    <row r="3" spans="1:13" ht="18">
      <c r="A3" s="133"/>
      <c r="B3" s="134" t="str">
        <f>'Cover Sheet'!B3</f>
        <v>Monthly Investor Report</v>
      </c>
      <c r="C3" s="134"/>
      <c r="D3" s="141" t="str">
        <f>'Cover Sheet'!D3</f>
        <v>Payment Date</v>
      </c>
      <c r="E3" s="142"/>
      <c r="F3" s="143">
        <f>'Cover Sheet'!F3</f>
        <v>45975</v>
      </c>
      <c r="G3" s="142"/>
      <c r="H3" s="142"/>
      <c r="I3" s="142"/>
      <c r="J3" s="144"/>
      <c r="K3" s="139"/>
      <c r="L3" s="164"/>
    </row>
    <row r="4" spans="1:13" ht="13">
      <c r="A4" s="133"/>
      <c r="B4" s="145"/>
      <c r="C4" s="185"/>
      <c r="D4" s="141" t="str">
        <f>'Cover Sheet'!D4</f>
        <v>Period  No</v>
      </c>
      <c r="E4" s="142"/>
      <c r="F4" s="146">
        <f>'Cover Sheet'!F4</f>
        <v>27</v>
      </c>
      <c r="G4" s="142"/>
      <c r="H4" s="147"/>
      <c r="I4" s="142"/>
      <c r="J4" s="148"/>
      <c r="K4" s="139"/>
      <c r="L4" s="163"/>
    </row>
    <row r="5" spans="1:13" ht="18">
      <c r="A5" s="133"/>
      <c r="B5" s="149" t="s">
        <v>44</v>
      </c>
      <c r="C5" s="149"/>
      <c r="D5" s="141" t="str">
        <f>'Cover Sheet'!D5</f>
        <v>Monthly Period</v>
      </c>
      <c r="E5" s="142"/>
      <c r="F5" s="150">
        <f>'Cover Sheet'!F5</f>
        <v>45975</v>
      </c>
      <c r="G5" s="142"/>
      <c r="H5" s="147"/>
      <c r="I5" s="142"/>
      <c r="J5" s="148"/>
      <c r="K5" s="139"/>
      <c r="L5" s="164"/>
    </row>
    <row r="6" spans="1:13" s="105" customFormat="1" ht="15" customHeight="1">
      <c r="A6" s="133"/>
      <c r="B6" s="151"/>
      <c r="C6" s="140"/>
      <c r="D6" s="141" t="str">
        <f>'Cover Sheet'!D6</f>
        <v>Interest Period</v>
      </c>
      <c r="E6" s="152" t="str">
        <f>'Cover Sheet'!E6</f>
        <v>from</v>
      </c>
      <c r="F6" s="143">
        <f>'Cover Sheet'!F6</f>
        <v>45944</v>
      </c>
      <c r="G6" s="152" t="str">
        <f>'Cover Sheet'!G6</f>
        <v>to</v>
      </c>
      <c r="H6" s="143">
        <f>'Cover Sheet'!H6</f>
        <v>45975</v>
      </c>
      <c r="I6" s="152" t="str">
        <f>'Cover Sheet'!I6</f>
        <v>=</v>
      </c>
      <c r="J6" s="153" t="str">
        <f>'Cover Sheet'!J6</f>
        <v>31 days</v>
      </c>
      <c r="K6" s="154"/>
      <c r="M6" s="155"/>
    </row>
    <row r="7" spans="1:13" ht="13">
      <c r="A7" s="133"/>
      <c r="D7" s="156" t="str">
        <f>'Cover Sheet'!D7</f>
        <v>Collection Period</v>
      </c>
      <c r="E7" s="157" t="str">
        <f>'Cover Sheet'!E7</f>
        <v>from</v>
      </c>
      <c r="F7" s="158" t="str">
        <f>'Cover Sheet'!F7</f>
        <v>01.10.2025</v>
      </c>
      <c r="G7" s="157" t="str">
        <f>'Cover Sheet'!G7</f>
        <v>to</v>
      </c>
      <c r="H7" s="158">
        <f>'Cover Sheet'!H7</f>
        <v>45961</v>
      </c>
      <c r="I7" s="384"/>
      <c r="J7" s="192"/>
      <c r="K7" s="139"/>
      <c r="L7" s="164"/>
    </row>
    <row r="8" spans="1:13" ht="13">
      <c r="A8" s="133"/>
      <c r="D8" s="163"/>
      <c r="E8" s="162"/>
      <c r="F8" s="163"/>
      <c r="H8" s="193"/>
      <c r="J8" s="164"/>
      <c r="K8" s="139"/>
    </row>
    <row r="9" spans="1:13">
      <c r="A9" s="133"/>
      <c r="K9" s="139"/>
    </row>
    <row r="10" spans="1:13">
      <c r="A10" s="133"/>
      <c r="K10" s="139"/>
    </row>
    <row r="11" spans="1:13" ht="18" customHeight="1">
      <c r="A11" s="133"/>
      <c r="K11" s="139"/>
    </row>
    <row r="12" spans="1:13">
      <c r="A12" s="133"/>
      <c r="K12" s="139"/>
    </row>
    <row r="13" spans="1:13" ht="18">
      <c r="A13" s="133"/>
      <c r="B13" s="134"/>
      <c r="D13" s="874"/>
      <c r="F13" s="162"/>
      <c r="K13" s="139"/>
    </row>
    <row r="14" spans="1:13">
      <c r="A14" s="133"/>
      <c r="D14" s="875"/>
      <c r="K14" s="139"/>
    </row>
    <row r="15" spans="1:13">
      <c r="A15" s="133"/>
      <c r="D15" s="875"/>
      <c r="K15" s="139"/>
    </row>
    <row r="16" spans="1:13">
      <c r="A16" s="133"/>
      <c r="D16" s="875"/>
      <c r="K16" s="139"/>
    </row>
    <row r="17" spans="1:11" ht="18">
      <c r="A17" s="133"/>
      <c r="B17" s="134" t="s">
        <v>11</v>
      </c>
      <c r="D17" s="875"/>
      <c r="F17" s="162"/>
      <c r="K17" s="139"/>
    </row>
    <row r="18" spans="1:11" ht="13">
      <c r="A18" s="133"/>
      <c r="B18" s="171" t="s">
        <v>180</v>
      </c>
      <c r="C18" s="165" t="s">
        <v>8</v>
      </c>
      <c r="D18" s="874"/>
      <c r="F18" s="164" t="s">
        <v>42</v>
      </c>
      <c r="K18" s="139"/>
    </row>
    <row r="19" spans="1:11">
      <c r="A19" s="133"/>
      <c r="B19" s="123" t="s">
        <v>13</v>
      </c>
      <c r="C19" s="876">
        <f>IF(ISNUMBER('5. Outstanding Notes'!C27),D19/'5. Outstanding Notes'!C27,"")</f>
        <v>1.0363088041933623E-2</v>
      </c>
      <c r="D19" s="955">
        <f>VLOOKUP("Liquidity_Reserve_bop",calcdata,2,0)</f>
        <v>5118197.6100000003</v>
      </c>
      <c r="F19" s="162"/>
      <c r="K19" s="139"/>
    </row>
    <row r="20" spans="1:11">
      <c r="A20" s="133"/>
      <c r="B20" s="123" t="s">
        <v>80</v>
      </c>
      <c r="D20" s="955">
        <f>VLOOKUP("Liquidity_Reserve_cashout",calcdata,2,0)</f>
        <v>5118197.6100000003</v>
      </c>
      <c r="F20" s="162"/>
      <c r="K20" s="139"/>
    </row>
    <row r="21" spans="1:11">
      <c r="A21" s="133"/>
      <c r="B21" s="123" t="s">
        <v>397</v>
      </c>
      <c r="D21" s="128">
        <f>VLOOKUP("Liquidity_Reserve_excess_amount",calcdata,2,0)</f>
        <v>0</v>
      </c>
      <c r="F21" s="162"/>
      <c r="K21" s="139"/>
    </row>
    <row r="22" spans="1:11">
      <c r="A22" s="133"/>
      <c r="B22" s="123" t="s">
        <v>321</v>
      </c>
      <c r="D22" s="128">
        <f>VLOOKUP("Liquidity_Reserve_pop",calcdata,2,0)</f>
        <v>0</v>
      </c>
      <c r="F22" s="162"/>
      <c r="K22" s="139"/>
    </row>
    <row r="23" spans="1:11">
      <c r="A23" s="133"/>
      <c r="B23" s="123" t="s">
        <v>81</v>
      </c>
      <c r="D23" s="913">
        <f>VLOOKUP("Liquidity_Reserve_cashin",calcdata,2,0)</f>
        <v>4938873.04</v>
      </c>
      <c r="F23" s="162"/>
      <c r="K23" s="139"/>
    </row>
    <row r="24" spans="1:11">
      <c r="A24" s="133"/>
      <c r="B24" s="123" t="s">
        <v>14</v>
      </c>
      <c r="C24" s="876">
        <f>IF(ISNUMBER(D24),D24/'5. Outstanding Notes'!C33,"")</f>
        <v>1.0342150559765492E-2</v>
      </c>
      <c r="D24" s="913">
        <f>VLOOKUP("Liquidity_Reserve_eop",calcdata,2,0)</f>
        <v>4938873.04</v>
      </c>
      <c r="F24" s="162"/>
      <c r="K24" s="139"/>
    </row>
    <row r="25" spans="1:11">
      <c r="A25" s="133"/>
      <c r="B25" s="123" t="s">
        <v>318</v>
      </c>
      <c r="C25" s="876">
        <f>IF(ISNUMBER(D25),D25/'5. Outstanding Notes'!C33,"")</f>
        <v>1.5513225818707933E-2</v>
      </c>
      <c r="D25" s="913">
        <f>VLOOKUP("Liquidity_Reserve_fund",calcdata,2,0)</f>
        <v>7408309.5499999998</v>
      </c>
      <c r="F25" s="162"/>
      <c r="K25" s="139"/>
    </row>
    <row r="26" spans="1:11">
      <c r="A26" s="133"/>
      <c r="D26" s="875"/>
      <c r="F26" s="162"/>
      <c r="K26" s="139"/>
    </row>
    <row r="27" spans="1:11" ht="13">
      <c r="A27" s="133"/>
      <c r="B27" s="171" t="s">
        <v>10</v>
      </c>
      <c r="C27" s="165" t="s">
        <v>8</v>
      </c>
      <c r="D27" s="874"/>
      <c r="F27" s="961" t="str">
        <f>VLOOKUP("Com_Reserve_Trigger",calcdata,4,0)</f>
        <v>no</v>
      </c>
      <c r="K27" s="139"/>
    </row>
    <row r="28" spans="1:11">
      <c r="A28" s="133"/>
      <c r="B28" s="123" t="s">
        <v>13</v>
      </c>
      <c r="C28" s="816" t="str">
        <f>IF(AND(ISNUMBER('5. Outstanding Notes'!C27),ISNUMBER(D28)),D28/'5. Outstanding Notes'!C27,"")</f>
        <v/>
      </c>
      <c r="D28" s="877" t="str">
        <f>VLOOKUP("Com_Reserve_bop",calcdata,4,0)</f>
        <v>n/a</v>
      </c>
      <c r="F28" s="162"/>
      <c r="K28" s="139"/>
    </row>
    <row r="29" spans="1:11">
      <c r="A29" s="133"/>
      <c r="B29" s="123" t="s">
        <v>80</v>
      </c>
      <c r="C29" s="816"/>
      <c r="D29" s="877" t="str">
        <f>VLOOKUP("Com_Reserve_cashout",calcdata,4,0)</f>
        <v>n/a</v>
      </c>
      <c r="F29" s="162"/>
      <c r="K29" s="139"/>
    </row>
    <row r="30" spans="1:11">
      <c r="A30" s="133"/>
      <c r="B30" s="123" t="s">
        <v>320</v>
      </c>
      <c r="C30" s="816"/>
      <c r="D30" s="877"/>
      <c r="F30" s="162"/>
      <c r="K30" s="139"/>
    </row>
    <row r="31" spans="1:11">
      <c r="A31" s="133"/>
      <c r="B31" s="123" t="s">
        <v>359</v>
      </c>
      <c r="C31" s="816"/>
      <c r="D31" s="877"/>
      <c r="F31" s="162"/>
      <c r="K31" s="139"/>
    </row>
    <row r="32" spans="1:11">
      <c r="A32" s="133"/>
      <c r="B32" s="123" t="s">
        <v>81</v>
      </c>
      <c r="C32" s="816"/>
      <c r="D32" s="877" t="str">
        <f>VLOOKUP("Com_Reserve_cashin",calcdata,4,0)</f>
        <v>n/a</v>
      </c>
      <c r="F32" s="162"/>
      <c r="K32" s="139"/>
    </row>
    <row r="33" spans="1:11">
      <c r="A33" s="133"/>
      <c r="B33" s="123" t="s">
        <v>14</v>
      </c>
      <c r="C33" s="816" t="str">
        <f>IF(AND(ISNUMBER('5. Outstanding Notes'!C33),ISNUMBER(D33)),D33/'5. Outstanding Notes'!C33,"")</f>
        <v/>
      </c>
      <c r="D33" s="877" t="str">
        <f>VLOOKUP("Com_Reserve_eop",calcdata,4,0)</f>
        <v>n/a</v>
      </c>
      <c r="F33" s="162"/>
      <c r="K33" s="139"/>
    </row>
    <row r="34" spans="1:11">
      <c r="A34" s="133"/>
      <c r="B34" s="123" t="s">
        <v>319</v>
      </c>
      <c r="C34" s="816"/>
      <c r="D34" s="877">
        <f>VLOOKUP("Com_Reserve_required",calcdata,2,0)</f>
        <v>0</v>
      </c>
      <c r="F34" s="162"/>
      <c r="K34" s="139"/>
    </row>
    <row r="35" spans="1:11">
      <c r="A35" s="133"/>
      <c r="B35" s="172"/>
      <c r="D35" s="128"/>
      <c r="F35" s="162"/>
      <c r="K35" s="139"/>
    </row>
    <row r="36" spans="1:11" ht="13">
      <c r="A36" s="133"/>
      <c r="B36" s="171" t="s">
        <v>168</v>
      </c>
      <c r="C36" s="165" t="s">
        <v>8</v>
      </c>
      <c r="D36" s="875"/>
      <c r="F36" s="961" t="str">
        <f>VLOOKUP("Setoff_Reserve_Trigger",calcdata,4,0)</f>
        <v>no</v>
      </c>
      <c r="K36" s="139"/>
    </row>
    <row r="37" spans="1:11">
      <c r="A37" s="133"/>
      <c r="B37" s="123" t="s">
        <v>13</v>
      </c>
      <c r="C37" s="816" t="str">
        <f>IF(AND(ISNUMBER('5. Outstanding Notes'!C27),ISNUMBER(D37)),D37/'5. Outstanding Notes'!C27,"")</f>
        <v/>
      </c>
      <c r="D37" s="877" t="str">
        <f>VLOOKUP("Setoff_Reserve_bop",calcdata,4,0)</f>
        <v>n/a</v>
      </c>
      <c r="F37" s="878"/>
      <c r="K37" s="139"/>
    </row>
    <row r="38" spans="1:11">
      <c r="A38" s="133"/>
      <c r="B38" s="123" t="s">
        <v>80</v>
      </c>
      <c r="D38" s="877" t="str">
        <f>VLOOKUP("Setoff_Reserve_cashout",calcdata,4,0)</f>
        <v>n/a</v>
      </c>
      <c r="F38" s="168"/>
      <c r="K38" s="139"/>
    </row>
    <row r="39" spans="1:11">
      <c r="A39" s="133"/>
      <c r="B39" s="123" t="s">
        <v>357</v>
      </c>
      <c r="D39" s="877"/>
      <c r="F39" s="168"/>
      <c r="K39" s="139"/>
    </row>
    <row r="40" spans="1:11">
      <c r="A40" s="133"/>
      <c r="B40" s="123" t="s">
        <v>358</v>
      </c>
      <c r="D40" s="877"/>
      <c r="F40" s="168"/>
      <c r="K40" s="139"/>
    </row>
    <row r="41" spans="1:11">
      <c r="A41" s="133"/>
      <c r="B41" s="123" t="s">
        <v>81</v>
      </c>
      <c r="D41" s="877" t="str">
        <f>VLOOKUP("Setoff_Reserve_cashin",calcdata,4,0)</f>
        <v>n/a</v>
      </c>
      <c r="F41" s="168"/>
      <c r="K41" s="139"/>
    </row>
    <row r="42" spans="1:11">
      <c r="A42" s="133"/>
      <c r="B42" s="123" t="s">
        <v>14</v>
      </c>
      <c r="C42" s="816" t="str">
        <f>IF(AND(ISNUMBER('5. Outstanding Notes'!C33),ISNUMBER(D42)),D42/'5. Outstanding Notes'!C33,"")</f>
        <v/>
      </c>
      <c r="D42" s="877" t="str">
        <f>VLOOKUP("Setoff_Reserve_eop",calcdata,4,0)</f>
        <v>n/a</v>
      </c>
      <c r="F42" s="168"/>
      <c r="K42" s="139"/>
    </row>
    <row r="43" spans="1:11">
      <c r="A43" s="133"/>
      <c r="B43" s="123" t="s">
        <v>411</v>
      </c>
      <c r="C43" s="816"/>
      <c r="D43" s="877">
        <f>VLOOKUP("Setoff_Reserve_required",calcdata,2,0)</f>
        <v>0</v>
      </c>
      <c r="F43" s="168"/>
      <c r="K43" s="139"/>
    </row>
    <row r="44" spans="1:11">
      <c r="A44" s="133"/>
      <c r="D44" s="875"/>
      <c r="F44" s="168"/>
      <c r="K44" s="139"/>
    </row>
    <row r="45" spans="1:11">
      <c r="A45" s="133"/>
      <c r="B45" s="123" t="s">
        <v>437</v>
      </c>
      <c r="D45" s="877"/>
      <c r="F45" s="168"/>
      <c r="K45" s="139"/>
    </row>
    <row r="46" spans="1:11">
      <c r="A46" s="173"/>
      <c r="B46" s="175"/>
      <c r="C46" s="175"/>
      <c r="D46" s="175"/>
      <c r="E46" s="175"/>
      <c r="F46" s="175"/>
      <c r="G46" s="175"/>
      <c r="H46" s="175"/>
      <c r="I46" s="175"/>
      <c r="J46" s="175"/>
      <c r="K46" s="176"/>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1" customWidth="1"/>
    <col min="2" max="2" width="18.453125" style="31" customWidth="1"/>
    <col min="3" max="3" width="21.81640625" style="31" customWidth="1"/>
    <col min="4" max="4" width="20.81640625" style="31" customWidth="1"/>
    <col min="5" max="8" width="15.54296875" style="31" customWidth="1"/>
    <col min="9" max="12" width="8.81640625" style="31" customWidth="1"/>
    <col min="13" max="13" width="2" style="23" customWidth="1"/>
    <col min="14" max="16384" width="9.1796875" style="31"/>
  </cols>
  <sheetData>
    <row r="1" spans="1:13" ht="6" customHeight="1">
      <c r="A1" s="765"/>
      <c r="B1" s="766"/>
      <c r="C1" s="766"/>
      <c r="D1" s="766"/>
      <c r="E1" s="766"/>
      <c r="F1" s="766"/>
      <c r="G1" s="766"/>
      <c r="H1" s="766"/>
      <c r="I1" s="766"/>
      <c r="J1" s="766"/>
      <c r="K1" s="766"/>
      <c r="L1" s="766"/>
      <c r="M1" s="264"/>
    </row>
    <row r="2" spans="1:13" ht="18">
      <c r="A2" s="266"/>
      <c r="B2" s="267" t="str">
        <f>'Cover Sheet'!B2</f>
        <v>SC Germany Consumer 2023-1</v>
      </c>
      <c r="C2" s="267"/>
      <c r="D2" s="268" t="str">
        <f>'Cover Sheet'!D2</f>
        <v>Calculation Date</v>
      </c>
      <c r="E2" s="269"/>
      <c r="F2" s="270">
        <f>'Cover Sheet'!F2</f>
        <v>45973</v>
      </c>
      <c r="G2" s="269"/>
      <c r="H2" s="269"/>
      <c r="I2" s="269"/>
      <c r="J2" s="269"/>
      <c r="K2" s="269"/>
      <c r="L2" s="271"/>
      <c r="M2" s="109"/>
    </row>
    <row r="3" spans="1:13" ht="18">
      <c r="A3" s="266"/>
      <c r="B3" s="267" t="str">
        <f>'Cover Sheet'!B3</f>
        <v>Monthly Investor Report</v>
      </c>
      <c r="C3" s="267"/>
      <c r="D3" s="275" t="str">
        <f>'Cover Sheet'!D3</f>
        <v>Payment Date</v>
      </c>
      <c r="E3" s="276"/>
      <c r="F3" s="277">
        <f>'Cover Sheet'!F3</f>
        <v>45975</v>
      </c>
      <c r="G3" s="276"/>
      <c r="H3" s="276"/>
      <c r="I3" s="276"/>
      <c r="J3" s="276"/>
      <c r="K3" s="276"/>
      <c r="L3" s="278"/>
      <c r="M3" s="109"/>
    </row>
    <row r="4" spans="1:13">
      <c r="A4" s="266"/>
      <c r="B4" s="859"/>
      <c r="C4" s="127"/>
      <c r="D4" s="275" t="str">
        <f>'Cover Sheet'!D4</f>
        <v>Period  No</v>
      </c>
      <c r="E4" s="276"/>
      <c r="F4" s="281">
        <f>'Cover Sheet'!F4</f>
        <v>27</v>
      </c>
      <c r="G4" s="276"/>
      <c r="H4" s="282"/>
      <c r="I4" s="276"/>
      <c r="J4" s="287"/>
      <c r="K4" s="276"/>
      <c r="L4" s="283"/>
      <c r="M4" s="109"/>
    </row>
    <row r="5" spans="1:13" ht="18">
      <c r="A5" s="266"/>
      <c r="B5" s="353" t="s">
        <v>232</v>
      </c>
      <c r="C5" s="353"/>
      <c r="D5" s="275" t="str">
        <f>'Cover Sheet'!D5</f>
        <v>Monthly Period</v>
      </c>
      <c r="E5" s="276"/>
      <c r="F5" s="150">
        <f>'Cover Sheet'!F5</f>
        <v>45975</v>
      </c>
      <c r="G5" s="276"/>
      <c r="H5" s="282"/>
      <c r="I5" s="276"/>
      <c r="J5" s="287"/>
      <c r="K5" s="276"/>
      <c r="L5" s="283"/>
      <c r="M5" s="109"/>
    </row>
    <row r="6" spans="1:13" s="274" customFormat="1" ht="15" customHeight="1">
      <c r="A6" s="266"/>
      <c r="B6" s="285"/>
      <c r="C6" s="354"/>
      <c r="D6" s="275" t="str">
        <f>'Cover Sheet'!D6</f>
        <v>Interest Period</v>
      </c>
      <c r="E6" s="287" t="str">
        <f>'Cover Sheet'!E6</f>
        <v>from</v>
      </c>
      <c r="F6" s="277">
        <f>'Cover Sheet'!F6</f>
        <v>45944</v>
      </c>
      <c r="G6" s="287" t="str">
        <f>'Cover Sheet'!G6</f>
        <v>to</v>
      </c>
      <c r="H6" s="277">
        <f>'Cover Sheet'!H6</f>
        <v>45975</v>
      </c>
      <c r="I6" s="287" t="str">
        <f>'Cover Sheet'!I6</f>
        <v>=</v>
      </c>
      <c r="J6" s="828" t="str">
        <f>'Cover Sheet'!J6</f>
        <v>31 days</v>
      </c>
      <c r="K6" s="287"/>
      <c r="L6" s="396"/>
      <c r="M6" s="829"/>
    </row>
    <row r="7" spans="1:13">
      <c r="A7" s="266"/>
      <c r="D7" s="706" t="str">
        <f>'Cover Sheet'!D7</f>
        <v>Collection Period</v>
      </c>
      <c r="E7" s="707" t="str">
        <f>'Cover Sheet'!E7</f>
        <v>from</v>
      </c>
      <c r="F7" s="291" t="str">
        <f>'Cover Sheet'!F7</f>
        <v>01.10.2025</v>
      </c>
      <c r="G7" s="707" t="str">
        <f>'Cover Sheet'!G7</f>
        <v>to</v>
      </c>
      <c r="H7" s="291">
        <f>'Cover Sheet'!H7</f>
        <v>45961</v>
      </c>
      <c r="I7" s="292"/>
      <c r="J7" s="292"/>
      <c r="K7" s="292"/>
      <c r="L7" s="293"/>
      <c r="M7" s="109"/>
    </row>
    <row r="8" spans="1:13" ht="13">
      <c r="A8" s="266"/>
      <c r="D8" s="830"/>
      <c r="E8" s="294"/>
      <c r="F8" s="272"/>
      <c r="H8" s="295"/>
      <c r="J8" s="295"/>
      <c r="L8" s="279"/>
      <c r="M8" s="109"/>
    </row>
    <row r="9" spans="1:13">
      <c r="A9" s="266"/>
      <c r="D9" s="127"/>
      <c r="M9" s="109"/>
    </row>
    <row r="10" spans="1:13">
      <c r="A10" s="266"/>
      <c r="D10" s="127"/>
      <c r="M10" s="109"/>
    </row>
    <row r="11" spans="1:13" ht="18" customHeight="1">
      <c r="A11" s="266"/>
      <c r="D11" s="127"/>
      <c r="M11" s="109"/>
    </row>
    <row r="12" spans="1:13">
      <c r="A12" s="266"/>
      <c r="D12" s="127"/>
      <c r="M12" s="109"/>
    </row>
    <row r="13" spans="1:13" ht="18">
      <c r="A13" s="266"/>
      <c r="B13" s="267"/>
      <c r="D13" s="831"/>
      <c r="F13" s="267"/>
      <c r="H13" s="23"/>
      <c r="I13" s="23"/>
      <c r="J13" s="302"/>
      <c r="K13" s="23"/>
      <c r="L13" s="23"/>
      <c r="M13" s="109"/>
    </row>
    <row r="14" spans="1:13">
      <c r="A14" s="266"/>
      <c r="D14" s="832"/>
      <c r="H14" s="23"/>
      <c r="I14" s="23"/>
      <c r="J14" s="23"/>
      <c r="K14" s="23"/>
      <c r="L14" s="23"/>
      <c r="M14" s="109"/>
    </row>
    <row r="15" spans="1:13">
      <c r="A15" s="266"/>
      <c r="D15" s="832"/>
      <c r="H15" s="23"/>
      <c r="I15" s="23"/>
      <c r="J15" s="23"/>
      <c r="K15" s="23"/>
      <c r="L15" s="23"/>
      <c r="M15" s="109"/>
    </row>
    <row r="16" spans="1:13">
      <c r="A16" s="266"/>
      <c r="D16" s="833"/>
      <c r="H16" s="23"/>
      <c r="I16" s="23"/>
      <c r="J16" s="23"/>
      <c r="K16" s="23"/>
      <c r="L16" s="23"/>
      <c r="M16" s="109"/>
    </row>
    <row r="17" spans="1:23" ht="18">
      <c r="A17" s="266"/>
      <c r="B17" s="302" t="s">
        <v>171</v>
      </c>
      <c r="C17" s="834"/>
      <c r="D17" s="835"/>
      <c r="E17" s="835"/>
      <c r="F17" s="817"/>
      <c r="G17" s="817"/>
      <c r="H17" s="870"/>
      <c r="J17" s="835"/>
      <c r="K17" s="23"/>
      <c r="L17" s="835"/>
      <c r="M17" s="109"/>
    </row>
    <row r="18" spans="1:23" ht="18">
      <c r="A18" s="266"/>
      <c r="B18" s="267"/>
      <c r="C18" s="834"/>
      <c r="D18" s="834"/>
      <c r="E18" s="834"/>
      <c r="F18" s="831"/>
      <c r="G18" s="831"/>
      <c r="H18" s="834"/>
      <c r="J18" s="835"/>
      <c r="K18" s="23"/>
      <c r="L18" s="23"/>
      <c r="M18" s="109"/>
    </row>
    <row r="19" spans="1:23" ht="13.5" thickBot="1">
      <c r="A19" s="266"/>
      <c r="B19" s="871"/>
      <c r="K19" s="751"/>
      <c r="L19" s="812"/>
      <c r="M19" s="109"/>
    </row>
    <row r="20" spans="1:23" ht="15" thickBot="1">
      <c r="A20" s="266"/>
      <c r="B20" s="1027" t="s">
        <v>111</v>
      </c>
      <c r="C20" s="1027" t="s">
        <v>413</v>
      </c>
      <c r="D20" s="1033" t="s">
        <v>243</v>
      </c>
      <c r="E20" s="1034"/>
      <c r="F20" s="1034"/>
      <c r="G20" s="1035"/>
      <c r="H20" s="1027" t="s">
        <v>244</v>
      </c>
      <c r="I20" s="1033" t="s">
        <v>243</v>
      </c>
      <c r="J20" s="1034"/>
      <c r="K20" s="1034"/>
      <c r="L20" s="1036"/>
      <c r="M20" s="838"/>
      <c r="O20" s="839"/>
      <c r="P20" s="23"/>
      <c r="Q20" s="840"/>
      <c r="R20" s="841"/>
      <c r="S20" s="841"/>
      <c r="T20" s="23"/>
      <c r="U20" s="23"/>
      <c r="V20" s="751"/>
      <c r="W20" s="842"/>
    </row>
    <row r="21" spans="1:23" ht="15" thickBot="1">
      <c r="A21" s="266"/>
      <c r="B21" s="1032"/>
      <c r="C21" s="1028"/>
      <c r="D21" s="956" t="s">
        <v>245</v>
      </c>
      <c r="E21" s="954" t="s">
        <v>246</v>
      </c>
      <c r="F21" s="954" t="s">
        <v>247</v>
      </c>
      <c r="G21" s="836" t="s">
        <v>248</v>
      </c>
      <c r="H21" s="1028"/>
      <c r="I21" s="957" t="s">
        <v>245</v>
      </c>
      <c r="J21" s="957" t="s">
        <v>246</v>
      </c>
      <c r="K21" s="957" t="s">
        <v>247</v>
      </c>
      <c r="L21" s="837" t="s">
        <v>248</v>
      </c>
      <c r="M21" s="109"/>
      <c r="N21" s="23"/>
      <c r="O21" s="23"/>
      <c r="P21" s="23"/>
      <c r="Q21" s="840"/>
      <c r="R21" s="841"/>
      <c r="S21" s="840"/>
      <c r="T21" s="23"/>
      <c r="U21" s="711"/>
      <c r="V21" s="23"/>
      <c r="W21" s="23"/>
    </row>
    <row r="22" spans="1:23" ht="13">
      <c r="A22" s="266"/>
      <c r="B22" s="872">
        <v>1</v>
      </c>
      <c r="C22" s="903">
        <f t="shared" ref="C22:C53" si="0">IF($F$4&gt;=B22,VLOOKUP(CONCATENATE("delinquency_",$B22),delinquencies,2,0),"")</f>
        <v>799999981.55999994</v>
      </c>
      <c r="D22" s="902">
        <f t="shared" ref="D22:D53" si="1">IF($F$4&gt;=B22,VLOOKUP(CONCATENATE("delinquency_",$B22),delinquencies,3,0),"")</f>
        <v>0</v>
      </c>
      <c r="E22" s="902">
        <f t="shared" ref="E22:E53" si="2">IF($F$4&gt;=B22,VLOOKUP(CONCATENATE("delinquency_",$B22),delinquencies,4,0),"")</f>
        <v>0</v>
      </c>
      <c r="F22" s="902">
        <f t="shared" ref="F22:F53" si="3">IF($F$4&gt;=B22,VLOOKUP(CONCATENATE("delinquency_",$B22),delinquencies,5,0),"")</f>
        <v>0</v>
      </c>
      <c r="G22" s="902">
        <f t="shared" ref="G22:G53" si="4">IF($F$4&gt;=B22,VLOOKUP(CONCATENATE("delinquency_",$B22),delinquencies,6,0),"")</f>
        <v>0</v>
      </c>
      <c r="H22" s="530">
        <f>IF(B22&lt;=$F$4,(C22-D22-E22-F22-G22)/C22,"")</f>
        <v>1</v>
      </c>
      <c r="I22" s="250">
        <f>IF($B22&lt;=$F$4,D22/$C22,"")</f>
        <v>0</v>
      </c>
      <c r="J22" s="250">
        <f t="shared" ref="J22:L22" si="5">IF($B22&lt;=$F$4,E22/$C22,"")</f>
        <v>0</v>
      </c>
      <c r="K22" s="250">
        <f t="shared" si="5"/>
        <v>0</v>
      </c>
      <c r="L22" s="873">
        <f t="shared" si="5"/>
        <v>0</v>
      </c>
      <c r="M22" s="109"/>
      <c r="N22" s="23"/>
      <c r="O22" s="23"/>
      <c r="P22" s="23"/>
      <c r="Q22" s="840"/>
      <c r="R22" s="841"/>
      <c r="S22" s="840"/>
      <c r="T22" s="23"/>
      <c r="U22" s="711"/>
      <c r="V22" s="23"/>
      <c r="W22" s="23"/>
    </row>
    <row r="23" spans="1:23" ht="13">
      <c r="A23" s="266"/>
      <c r="B23" s="445">
        <v>2</v>
      </c>
      <c r="C23" s="903">
        <f t="shared" si="0"/>
        <v>799999981.55999994</v>
      </c>
      <c r="D23" s="902">
        <f t="shared" si="1"/>
        <v>300686.15999999997</v>
      </c>
      <c r="E23" s="902">
        <f t="shared" si="2"/>
        <v>1480295.14</v>
      </c>
      <c r="F23" s="902">
        <f t="shared" si="3"/>
        <v>1104548.6499999999</v>
      </c>
      <c r="G23" s="902">
        <f t="shared" si="4"/>
        <v>30223.25</v>
      </c>
      <c r="H23" s="530">
        <f t="shared" ref="H23:H86" si="6">IF(B23&lt;=$F$4,(C23-D23-E23-F23-G23)/C23,"")</f>
        <v>0.99635530841598996</v>
      </c>
      <c r="I23" s="250">
        <f t="shared" ref="I23:I62" si="7">IF($B23&lt;=$F$4,D23/$C23,"")</f>
        <v>3.7585770866352018E-4</v>
      </c>
      <c r="J23" s="250">
        <f t="shared" ref="J23:J62" si="8">IF($B23&lt;=$F$4,E23/$C23,"")</f>
        <v>1.8503689676510047E-3</v>
      </c>
      <c r="K23" s="250">
        <f t="shared" ref="K23:K62" si="9">IF($B23&lt;=$F$4,F23/$C23,"")</f>
        <v>1.3806858443248086E-3</v>
      </c>
      <c r="L23" s="873">
        <f t="shared" ref="L23:L62" si="10">IF($B23&lt;=$F$4,G23/$C23,"")</f>
        <v>3.7779063370807413E-5</v>
      </c>
      <c r="M23" s="109"/>
      <c r="N23" s="23"/>
      <c r="O23" s="846"/>
      <c r="P23" s="23"/>
      <c r="Q23" s="840"/>
      <c r="R23" s="841"/>
      <c r="S23" s="841"/>
      <c r="T23" s="23"/>
      <c r="U23" s="23"/>
      <c r="V23" s="23"/>
      <c r="W23" s="23"/>
    </row>
    <row r="24" spans="1:23" ht="13">
      <c r="A24" s="266"/>
      <c r="B24" s="445">
        <v>3</v>
      </c>
      <c r="C24" s="903">
        <f t="shared" si="0"/>
        <v>799999941.96000004</v>
      </c>
      <c r="D24" s="902">
        <f t="shared" si="1"/>
        <v>1500995.62</v>
      </c>
      <c r="E24" s="902">
        <f t="shared" si="2"/>
        <v>1592449.73</v>
      </c>
      <c r="F24" s="902">
        <f t="shared" si="3"/>
        <v>535431.57999999996</v>
      </c>
      <c r="G24" s="902">
        <f t="shared" si="4"/>
        <v>967777.77</v>
      </c>
      <c r="H24" s="530">
        <f t="shared" si="6"/>
        <v>0.9942541812081408</v>
      </c>
      <c r="I24" s="250">
        <f t="shared" si="7"/>
        <v>1.8762446611215503E-3</v>
      </c>
      <c r="J24" s="250">
        <f t="shared" si="8"/>
        <v>1.9905623069152952E-3</v>
      </c>
      <c r="K24" s="250">
        <f t="shared" si="9"/>
        <v>6.6928952355695484E-4</v>
      </c>
      <c r="L24" s="873">
        <f t="shared" si="10"/>
        <v>1.2097223002653528E-3</v>
      </c>
      <c r="M24" s="847"/>
      <c r="Q24" s="840"/>
      <c r="R24" s="848"/>
      <c r="S24" s="848"/>
      <c r="U24" s="23"/>
      <c r="V24" s="751"/>
      <c r="W24" s="812"/>
    </row>
    <row r="25" spans="1:23" ht="13">
      <c r="A25" s="266"/>
      <c r="B25" s="445">
        <v>4</v>
      </c>
      <c r="C25" s="903">
        <f t="shared" si="0"/>
        <v>799999971.15999997</v>
      </c>
      <c r="D25" s="902">
        <f t="shared" si="1"/>
        <v>654632.57999999996</v>
      </c>
      <c r="E25" s="902">
        <f t="shared" si="2"/>
        <v>1880033.26</v>
      </c>
      <c r="F25" s="902">
        <f t="shared" si="3"/>
        <v>2290342.96</v>
      </c>
      <c r="G25" s="902">
        <f t="shared" si="4"/>
        <v>2123217.06</v>
      </c>
      <c r="H25" s="530">
        <f t="shared" si="6"/>
        <v>0.99131471736189558</v>
      </c>
      <c r="I25" s="250">
        <f t="shared" si="7"/>
        <v>8.1829075449938165E-4</v>
      </c>
      <c r="J25" s="250">
        <f t="shared" si="8"/>
        <v>2.3500416597190018E-3</v>
      </c>
      <c r="K25" s="250">
        <f t="shared" si="9"/>
        <v>2.8629288032085832E-3</v>
      </c>
      <c r="L25" s="873">
        <f t="shared" si="10"/>
        <v>2.6540214206774724E-3</v>
      </c>
      <c r="M25" s="838"/>
      <c r="N25" s="849"/>
      <c r="O25" s="812"/>
      <c r="P25" s="849"/>
      <c r="Q25" s="850"/>
      <c r="R25" s="851"/>
      <c r="S25" s="848"/>
      <c r="T25" s="849"/>
      <c r="U25" s="23"/>
      <c r="V25" s="751"/>
      <c r="W25" s="842"/>
    </row>
    <row r="26" spans="1:23" ht="13">
      <c r="A26" s="266"/>
      <c r="B26" s="445">
        <v>5</v>
      </c>
      <c r="C26" s="903">
        <f t="shared" si="0"/>
        <v>799999965.69000006</v>
      </c>
      <c r="D26" s="902">
        <f t="shared" si="1"/>
        <v>2088424.78</v>
      </c>
      <c r="E26" s="902">
        <f t="shared" si="2"/>
        <v>1048972.3500000001</v>
      </c>
      <c r="F26" s="902">
        <f t="shared" si="3"/>
        <v>2036381.93</v>
      </c>
      <c r="G26" s="902">
        <f t="shared" si="4"/>
        <v>3247767.98</v>
      </c>
      <c r="H26" s="530">
        <f t="shared" si="6"/>
        <v>0.98947306574852611</v>
      </c>
      <c r="I26" s="250">
        <f t="shared" si="7"/>
        <v>2.6105310869591518E-3</v>
      </c>
      <c r="J26" s="250">
        <f t="shared" si="8"/>
        <v>1.3112154937347546E-3</v>
      </c>
      <c r="K26" s="250">
        <f t="shared" si="9"/>
        <v>2.545477521669167E-3</v>
      </c>
      <c r="L26" s="873">
        <f t="shared" si="10"/>
        <v>4.0597101491108185E-3</v>
      </c>
      <c r="M26" s="109"/>
      <c r="Q26" s="840"/>
      <c r="R26" s="841"/>
      <c r="S26" s="840"/>
      <c r="T26" s="23"/>
      <c r="U26" s="711"/>
      <c r="V26" s="23"/>
      <c r="W26" s="23"/>
    </row>
    <row r="27" spans="1:23" ht="13">
      <c r="A27" s="266"/>
      <c r="B27" s="445">
        <v>6</v>
      </c>
      <c r="C27" s="903">
        <f t="shared" si="0"/>
        <v>799999978.48000002</v>
      </c>
      <c r="D27" s="902">
        <f t="shared" si="1"/>
        <v>2775795.73</v>
      </c>
      <c r="E27" s="902">
        <f t="shared" si="2"/>
        <v>3043261.33</v>
      </c>
      <c r="F27" s="902">
        <f t="shared" si="3"/>
        <v>2079886.02</v>
      </c>
      <c r="G27" s="902">
        <f t="shared" si="4"/>
        <v>2578179.84</v>
      </c>
      <c r="H27" s="530">
        <f t="shared" si="6"/>
        <v>0.98690359599770661</v>
      </c>
      <c r="I27" s="250">
        <f t="shared" si="7"/>
        <v>3.469744755836134E-3</v>
      </c>
      <c r="J27" s="250">
        <f t="shared" si="8"/>
        <v>3.8040767648296649E-3</v>
      </c>
      <c r="K27" s="250">
        <f t="shared" si="9"/>
        <v>2.5998575949361695E-3</v>
      </c>
      <c r="L27" s="873">
        <f t="shared" si="10"/>
        <v>3.2227248866912991E-3</v>
      </c>
      <c r="M27" s="109"/>
      <c r="Q27" s="840"/>
      <c r="R27" s="841"/>
      <c r="S27" s="840"/>
      <c r="T27" s="23"/>
      <c r="U27" s="711"/>
      <c r="V27" s="23"/>
      <c r="W27" s="23"/>
    </row>
    <row r="28" spans="1:23" ht="13">
      <c r="A28" s="266"/>
      <c r="B28" s="445">
        <v>7</v>
      </c>
      <c r="C28" s="903">
        <f t="shared" si="0"/>
        <v>799999981.26999998</v>
      </c>
      <c r="D28" s="902">
        <f t="shared" si="1"/>
        <v>1164177.04</v>
      </c>
      <c r="E28" s="902">
        <f t="shared" si="2"/>
        <v>2617418.4900000002</v>
      </c>
      <c r="F28" s="902">
        <f t="shared" si="3"/>
        <v>3057357.74</v>
      </c>
      <c r="G28" s="902">
        <f t="shared" si="4"/>
        <v>4809039.37</v>
      </c>
      <c r="H28" s="530">
        <f t="shared" si="6"/>
        <v>0.9854400088591142</v>
      </c>
      <c r="I28" s="250">
        <f t="shared" si="7"/>
        <v>1.4552213340703695E-3</v>
      </c>
      <c r="J28" s="250">
        <f t="shared" si="8"/>
        <v>3.2717731891003903E-3</v>
      </c>
      <c r="K28" s="250">
        <f t="shared" si="9"/>
        <v>3.8216972644754877E-3</v>
      </c>
      <c r="L28" s="873">
        <f t="shared" si="10"/>
        <v>6.0112993532395465E-3</v>
      </c>
      <c r="M28" s="109"/>
      <c r="O28" s="846"/>
      <c r="Q28" s="840"/>
      <c r="R28" s="848"/>
      <c r="S28" s="848"/>
      <c r="U28" s="23"/>
      <c r="V28" s="23"/>
      <c r="W28" s="23"/>
    </row>
    <row r="29" spans="1:23" ht="13">
      <c r="A29" s="266"/>
      <c r="B29" s="445">
        <v>8</v>
      </c>
      <c r="C29" s="903">
        <f t="shared" si="0"/>
        <v>799999972.76999998</v>
      </c>
      <c r="D29" s="902">
        <f t="shared" si="1"/>
        <v>2710748.8</v>
      </c>
      <c r="E29" s="902">
        <f t="shared" si="2"/>
        <v>3310713.44</v>
      </c>
      <c r="F29" s="902">
        <f t="shared" si="3"/>
        <v>793492.26</v>
      </c>
      <c r="G29" s="902">
        <f t="shared" si="4"/>
        <v>4478472.58</v>
      </c>
      <c r="H29" s="530">
        <f t="shared" si="6"/>
        <v>0.98588321566949988</v>
      </c>
      <c r="I29" s="250">
        <f t="shared" si="7"/>
        <v>3.3884361153338942E-3</v>
      </c>
      <c r="J29" s="250">
        <f t="shared" si="8"/>
        <v>4.1383919408605153E-3</v>
      </c>
      <c r="K29" s="250">
        <f t="shared" si="9"/>
        <v>9.9186535876061711E-4</v>
      </c>
      <c r="L29" s="873">
        <f t="shared" si="10"/>
        <v>5.59809091554502E-3</v>
      </c>
      <c r="M29" s="109"/>
      <c r="Q29" s="840"/>
      <c r="R29" s="848"/>
      <c r="S29" s="848"/>
      <c r="U29" s="23"/>
      <c r="V29" s="23"/>
      <c r="W29" s="23"/>
    </row>
    <row r="30" spans="1:23" ht="13">
      <c r="A30" s="266"/>
      <c r="B30" s="445">
        <v>9</v>
      </c>
      <c r="C30" s="903">
        <f t="shared" si="0"/>
        <v>799999975.17999995</v>
      </c>
      <c r="D30" s="902">
        <f t="shared" si="1"/>
        <v>3535515.87</v>
      </c>
      <c r="E30" s="902">
        <f t="shared" si="2"/>
        <v>3393550.14</v>
      </c>
      <c r="F30" s="902">
        <f t="shared" si="3"/>
        <v>2922140.91</v>
      </c>
      <c r="G30" s="902">
        <f t="shared" si="4"/>
        <v>3294778.98</v>
      </c>
      <c r="H30" s="530">
        <f t="shared" si="6"/>
        <v>0.9835675171151822</v>
      </c>
      <c r="I30" s="250">
        <f t="shared" si="7"/>
        <v>4.4193949746117291E-3</v>
      </c>
      <c r="J30" s="250">
        <f t="shared" si="8"/>
        <v>4.2419378066061207E-3</v>
      </c>
      <c r="K30" s="250">
        <f t="shared" si="9"/>
        <v>3.6526762508242811E-3</v>
      </c>
      <c r="L30" s="873">
        <f t="shared" si="10"/>
        <v>4.1184738527756514E-3</v>
      </c>
      <c r="M30" s="838"/>
      <c r="N30" s="849"/>
      <c r="O30" s="812"/>
      <c r="P30" s="849"/>
      <c r="Q30" s="852"/>
      <c r="R30" s="851"/>
      <c r="S30" s="848"/>
      <c r="T30" s="849"/>
      <c r="U30" s="812"/>
      <c r="V30" s="23"/>
      <c r="W30" s="23"/>
    </row>
    <row r="31" spans="1:23" ht="13">
      <c r="A31" s="266"/>
      <c r="B31" s="445">
        <v>10</v>
      </c>
      <c r="C31" s="903">
        <f t="shared" si="0"/>
        <v>799999960.75999999</v>
      </c>
      <c r="D31" s="902">
        <f t="shared" si="1"/>
        <v>2751827.06</v>
      </c>
      <c r="E31" s="902">
        <f t="shared" si="2"/>
        <v>1334554.3799999999</v>
      </c>
      <c r="F31" s="902">
        <f t="shared" si="3"/>
        <v>5194079.08</v>
      </c>
      <c r="G31" s="902">
        <f t="shared" si="4"/>
        <v>3296587.69</v>
      </c>
      <c r="H31" s="530">
        <f t="shared" si="6"/>
        <v>0.98427868896636961</v>
      </c>
      <c r="I31" s="250">
        <f t="shared" si="7"/>
        <v>3.4397839937214052E-3</v>
      </c>
      <c r="J31" s="250">
        <f t="shared" si="8"/>
        <v>1.6681930568248694E-3</v>
      </c>
      <c r="K31" s="250">
        <f t="shared" si="9"/>
        <v>6.4925991684619891E-3</v>
      </c>
      <c r="L31" s="873">
        <f t="shared" si="10"/>
        <v>4.1207348146220426E-3</v>
      </c>
      <c r="M31" s="109"/>
      <c r="Q31" s="840"/>
      <c r="R31" s="841"/>
      <c r="S31" s="840"/>
      <c r="T31" s="23"/>
      <c r="U31" s="711"/>
      <c r="V31" s="23"/>
      <c r="W31" s="23"/>
    </row>
    <row r="32" spans="1:23" ht="13">
      <c r="A32" s="266"/>
      <c r="B32" s="445">
        <v>11</v>
      </c>
      <c r="C32" s="903">
        <f t="shared" si="0"/>
        <v>799999954.80999994</v>
      </c>
      <c r="D32" s="902">
        <f t="shared" si="1"/>
        <v>1263148.75</v>
      </c>
      <c r="E32" s="902">
        <f t="shared" si="2"/>
        <v>2701830.53</v>
      </c>
      <c r="F32" s="902">
        <f t="shared" si="3"/>
        <v>2935515.35</v>
      </c>
      <c r="G32" s="902">
        <f t="shared" si="4"/>
        <v>5468424.4500000002</v>
      </c>
      <c r="H32" s="530">
        <f t="shared" si="6"/>
        <v>0.98453885027663823</v>
      </c>
      <c r="I32" s="250">
        <f t="shared" si="7"/>
        <v>1.578936026690149E-3</v>
      </c>
      <c r="J32" s="250">
        <f t="shared" si="8"/>
        <v>3.3772883532745758E-3</v>
      </c>
      <c r="K32" s="250">
        <f t="shared" si="9"/>
        <v>3.6693943947749162E-3</v>
      </c>
      <c r="L32" s="873">
        <f t="shared" si="10"/>
        <v>6.8355309486220553E-3</v>
      </c>
      <c r="M32" s="109"/>
      <c r="Q32" s="840"/>
      <c r="R32" s="841"/>
      <c r="S32" s="840"/>
      <c r="T32" s="23"/>
      <c r="U32" s="711"/>
      <c r="V32" s="23"/>
      <c r="W32" s="23"/>
    </row>
    <row r="33" spans="1:23" ht="13">
      <c r="A33" s="266"/>
      <c r="B33" s="445">
        <v>12</v>
      </c>
      <c r="C33" s="903">
        <f t="shared" si="0"/>
        <v>799999976.96000004</v>
      </c>
      <c r="D33" s="902">
        <f t="shared" si="1"/>
        <v>3005727.01</v>
      </c>
      <c r="E33" s="902">
        <f t="shared" si="2"/>
        <v>3245004.32</v>
      </c>
      <c r="F33" s="902">
        <f t="shared" si="3"/>
        <v>2556197.75</v>
      </c>
      <c r="G33" s="902">
        <f t="shared" si="4"/>
        <v>3853833.82</v>
      </c>
      <c r="H33" s="530">
        <f t="shared" si="6"/>
        <v>0.98417404591921243</v>
      </c>
      <c r="I33" s="250">
        <f t="shared" si="7"/>
        <v>3.7571588707061752E-3</v>
      </c>
      <c r="J33" s="250">
        <f t="shared" si="8"/>
        <v>4.0562555168201586E-3</v>
      </c>
      <c r="K33" s="250">
        <f t="shared" si="9"/>
        <v>3.1952472795231217E-3</v>
      </c>
      <c r="L33" s="873">
        <f t="shared" si="10"/>
        <v>4.8172924137380212E-3</v>
      </c>
      <c r="M33" s="109"/>
      <c r="O33" s="846"/>
      <c r="Q33" s="840"/>
      <c r="R33" s="848"/>
      <c r="S33" s="848"/>
      <c r="U33" s="23"/>
      <c r="V33" s="23"/>
      <c r="W33" s="23"/>
    </row>
    <row r="34" spans="1:23" ht="13">
      <c r="A34" s="266"/>
      <c r="B34" s="445">
        <v>13</v>
      </c>
      <c r="C34" s="903">
        <f t="shared" si="0"/>
        <v>799999953.42999995</v>
      </c>
      <c r="D34" s="902">
        <f t="shared" si="1"/>
        <v>1121534.93</v>
      </c>
      <c r="E34" s="902">
        <f t="shared" si="2"/>
        <v>3290506.59</v>
      </c>
      <c r="F34" s="902">
        <f t="shared" si="3"/>
        <v>2995097.03</v>
      </c>
      <c r="G34" s="902">
        <f t="shared" si="4"/>
        <v>4900308.8</v>
      </c>
      <c r="H34" s="530">
        <f t="shared" si="6"/>
        <v>0.98461568991694093</v>
      </c>
      <c r="I34" s="250">
        <f t="shared" si="7"/>
        <v>1.4019187441091949E-3</v>
      </c>
      <c r="J34" s="250">
        <f t="shared" si="8"/>
        <v>4.1131334769357823E-3</v>
      </c>
      <c r="K34" s="250">
        <f t="shared" si="9"/>
        <v>3.7438715054401201E-3</v>
      </c>
      <c r="L34" s="873">
        <f t="shared" si="10"/>
        <v>6.1253863565740533E-3</v>
      </c>
      <c r="M34" s="109"/>
      <c r="Q34" s="840"/>
      <c r="R34" s="848"/>
      <c r="S34" s="848"/>
      <c r="U34" s="23"/>
      <c r="V34" s="853"/>
      <c r="W34" s="812"/>
    </row>
    <row r="35" spans="1:23" ht="13">
      <c r="A35" s="266"/>
      <c r="B35" s="445">
        <v>14</v>
      </c>
      <c r="C35" s="903">
        <f t="shared" si="0"/>
        <v>773493852.49000001</v>
      </c>
      <c r="D35" s="902">
        <f t="shared" si="1"/>
        <v>3390296.77</v>
      </c>
      <c r="E35" s="902">
        <f t="shared" si="2"/>
        <v>1251038.01</v>
      </c>
      <c r="F35" s="902">
        <f t="shared" si="3"/>
        <v>3405899.31</v>
      </c>
      <c r="G35" s="902">
        <f t="shared" si="4"/>
        <v>4651112.3899999997</v>
      </c>
      <c r="H35" s="530">
        <f t="shared" si="6"/>
        <v>0.98358313199371672</v>
      </c>
      <c r="I35" s="250">
        <f t="shared" si="7"/>
        <v>4.383094654322196E-3</v>
      </c>
      <c r="J35" s="250">
        <f t="shared" si="8"/>
        <v>1.6173858473117909E-3</v>
      </c>
      <c r="K35" s="250">
        <f t="shared" si="9"/>
        <v>4.4032661656403177E-3</v>
      </c>
      <c r="L35" s="873">
        <f t="shared" si="10"/>
        <v>6.0131213390091304E-3</v>
      </c>
      <c r="M35" s="838"/>
      <c r="N35" s="849"/>
      <c r="O35" s="812"/>
      <c r="P35" s="849"/>
      <c r="Q35" s="852"/>
      <c r="R35" s="851"/>
      <c r="S35" s="848"/>
      <c r="U35" s="23"/>
      <c r="V35" s="23"/>
      <c r="W35" s="23"/>
    </row>
    <row r="36" spans="1:23" ht="13">
      <c r="A36" s="266"/>
      <c r="B36" s="445">
        <v>15</v>
      </c>
      <c r="C36" s="903">
        <f t="shared" si="0"/>
        <v>749195329.34000003</v>
      </c>
      <c r="D36" s="902">
        <f t="shared" si="1"/>
        <v>3688258.37</v>
      </c>
      <c r="E36" s="902">
        <f t="shared" si="2"/>
        <v>1471123.59</v>
      </c>
      <c r="F36" s="902">
        <f t="shared" si="3"/>
        <v>3254532.1</v>
      </c>
      <c r="G36" s="902">
        <f t="shared" si="4"/>
        <v>5336618.76</v>
      </c>
      <c r="H36" s="530">
        <f t="shared" si="6"/>
        <v>0.98164626462352145</v>
      </c>
      <c r="I36" s="250">
        <f t="shared" si="7"/>
        <v>4.9229596415785899E-3</v>
      </c>
      <c r="J36" s="250">
        <f t="shared" si="8"/>
        <v>1.9636048602918806E-3</v>
      </c>
      <c r="K36" s="250">
        <f t="shared" si="9"/>
        <v>4.3440368253057108E-3</v>
      </c>
      <c r="L36" s="873">
        <f t="shared" si="10"/>
        <v>7.1231340493022937E-3</v>
      </c>
      <c r="M36" s="109"/>
      <c r="Q36" s="840"/>
      <c r="R36" s="841"/>
      <c r="S36" s="840"/>
      <c r="T36" s="23"/>
      <c r="U36" s="711"/>
      <c r="V36" s="23"/>
      <c r="W36" s="23"/>
    </row>
    <row r="37" spans="1:23" ht="13">
      <c r="A37" s="266"/>
      <c r="B37" s="445">
        <v>16</v>
      </c>
      <c r="C37" s="903">
        <f t="shared" si="0"/>
        <v>723934669.34000003</v>
      </c>
      <c r="D37" s="902">
        <f t="shared" si="1"/>
        <v>1225837.21</v>
      </c>
      <c r="E37" s="902">
        <f t="shared" si="2"/>
        <v>4062349.35</v>
      </c>
      <c r="F37" s="902">
        <f t="shared" si="3"/>
        <v>3277623.85</v>
      </c>
      <c r="G37" s="902">
        <f t="shared" si="4"/>
        <v>5009666.3</v>
      </c>
      <c r="H37" s="530">
        <f t="shared" si="6"/>
        <v>0.98124764942895115</v>
      </c>
      <c r="I37" s="250">
        <f t="shared" si="7"/>
        <v>1.6932981136510241E-3</v>
      </c>
      <c r="J37" s="250">
        <f t="shared" si="8"/>
        <v>5.6114861216739085E-3</v>
      </c>
      <c r="K37" s="250">
        <f t="shared" si="9"/>
        <v>4.5275133086085774E-3</v>
      </c>
      <c r="L37" s="873">
        <f t="shared" si="10"/>
        <v>6.9200530271153263E-3</v>
      </c>
      <c r="M37" s="109"/>
      <c r="Q37" s="840"/>
      <c r="R37" s="841"/>
      <c r="S37" s="840"/>
      <c r="T37" s="23"/>
      <c r="U37" s="711"/>
      <c r="V37" s="23"/>
      <c r="W37" s="23"/>
    </row>
    <row r="38" spans="1:23" ht="13">
      <c r="A38" s="266"/>
      <c r="B38" s="445">
        <v>17</v>
      </c>
      <c r="C38" s="903">
        <f t="shared" si="0"/>
        <v>702538142.62</v>
      </c>
      <c r="D38" s="902">
        <f t="shared" si="1"/>
        <v>3530115.51</v>
      </c>
      <c r="E38" s="902">
        <f t="shared" si="2"/>
        <v>4171506.81</v>
      </c>
      <c r="F38" s="902">
        <f t="shared" si="3"/>
        <v>2915982.06</v>
      </c>
      <c r="G38" s="902">
        <f t="shared" si="4"/>
        <v>3622855.9</v>
      </c>
      <c r="H38" s="530">
        <f t="shared" si="6"/>
        <v>0.97972998273532541</v>
      </c>
      <c r="I38" s="250">
        <f t="shared" si="7"/>
        <v>5.0248026346797585E-3</v>
      </c>
      <c r="J38" s="250">
        <f t="shared" si="8"/>
        <v>5.9377655915493132E-3</v>
      </c>
      <c r="K38" s="250">
        <f t="shared" si="9"/>
        <v>4.1506387811561752E-3</v>
      </c>
      <c r="L38" s="873">
        <f t="shared" si="10"/>
        <v>5.1568102572895997E-3</v>
      </c>
      <c r="M38" s="109"/>
      <c r="O38" s="846"/>
      <c r="Q38" s="840"/>
      <c r="R38" s="848"/>
      <c r="S38" s="848"/>
      <c r="U38" s="23"/>
      <c r="V38" s="23"/>
      <c r="W38" s="23"/>
    </row>
    <row r="39" spans="1:23" ht="13">
      <c r="A39" s="266"/>
      <c r="B39" s="445">
        <v>18</v>
      </c>
      <c r="C39" s="903">
        <f t="shared" si="0"/>
        <v>685574203.97000003</v>
      </c>
      <c r="D39" s="902">
        <f t="shared" si="1"/>
        <v>4091381.25</v>
      </c>
      <c r="E39" s="902">
        <f t="shared" si="2"/>
        <v>3440904.43</v>
      </c>
      <c r="F39" s="902">
        <f t="shared" si="3"/>
        <v>1042185.65</v>
      </c>
      <c r="G39" s="902">
        <f t="shared" si="4"/>
        <v>5849109.2999999998</v>
      </c>
      <c r="H39" s="530">
        <f t="shared" si="6"/>
        <v>0.97896131367476158</v>
      </c>
      <c r="I39" s="250">
        <f t="shared" si="7"/>
        <v>5.9678167969386348E-3</v>
      </c>
      <c r="J39" s="250">
        <f t="shared" si="8"/>
        <v>5.0190109401353298E-3</v>
      </c>
      <c r="K39" s="250">
        <f t="shared" si="9"/>
        <v>1.5201646210795949E-3</v>
      </c>
      <c r="L39" s="873">
        <f t="shared" si="10"/>
        <v>8.5316939670850717E-3</v>
      </c>
      <c r="M39" s="109"/>
      <c r="Q39" s="840"/>
      <c r="R39" s="848"/>
      <c r="S39" s="848"/>
      <c r="U39" s="23"/>
      <c r="V39" s="23"/>
      <c r="W39" s="813"/>
    </row>
    <row r="40" spans="1:23" ht="13">
      <c r="A40" s="266"/>
      <c r="B40" s="445">
        <v>19</v>
      </c>
      <c r="C40" s="903">
        <f t="shared" si="0"/>
        <v>663385495.13</v>
      </c>
      <c r="D40" s="902">
        <f t="shared" si="1"/>
        <v>1201972.56</v>
      </c>
      <c r="E40" s="902">
        <f t="shared" si="2"/>
        <v>3838731.41</v>
      </c>
      <c r="F40" s="902">
        <f t="shared" si="3"/>
        <v>3571471.86</v>
      </c>
      <c r="G40" s="902">
        <f t="shared" si="4"/>
        <v>5606125.5999999996</v>
      </c>
      <c r="H40" s="530">
        <f t="shared" si="6"/>
        <v>0.97856706012661054</v>
      </c>
      <c r="I40" s="250">
        <f t="shared" si="7"/>
        <v>1.811876456183981E-3</v>
      </c>
      <c r="J40" s="250">
        <f t="shared" si="8"/>
        <v>5.7865772438207216E-3</v>
      </c>
      <c r="K40" s="250">
        <f t="shared" si="9"/>
        <v>5.3837050798044928E-3</v>
      </c>
      <c r="L40" s="873">
        <f t="shared" si="10"/>
        <v>8.4507810935802834E-3</v>
      </c>
      <c r="M40" s="838"/>
      <c r="O40" s="839"/>
      <c r="P40" s="23"/>
      <c r="Q40" s="840"/>
      <c r="R40" s="841"/>
      <c r="S40" s="841"/>
      <c r="T40" s="23"/>
      <c r="U40" s="23"/>
      <c r="V40" s="23"/>
      <c r="W40" s="23"/>
    </row>
    <row r="41" spans="1:23" ht="13">
      <c r="A41" s="266"/>
      <c r="B41" s="445">
        <v>20</v>
      </c>
      <c r="C41" s="903">
        <f t="shared" si="0"/>
        <v>642933391.97000003</v>
      </c>
      <c r="D41" s="902">
        <f t="shared" si="1"/>
        <v>3610642.52</v>
      </c>
      <c r="E41" s="902">
        <f t="shared" si="2"/>
        <v>3516909.99</v>
      </c>
      <c r="F41" s="902">
        <f t="shared" si="3"/>
        <v>3483255.79</v>
      </c>
      <c r="G41" s="902">
        <f t="shared" si="4"/>
        <v>3670197.55</v>
      </c>
      <c r="H41" s="530">
        <f t="shared" si="6"/>
        <v>0.97778773660170026</v>
      </c>
      <c r="I41" s="250">
        <f t="shared" si="7"/>
        <v>5.6158889320349322E-3</v>
      </c>
      <c r="J41" s="250">
        <f t="shared" si="8"/>
        <v>5.4701000662353266E-3</v>
      </c>
      <c r="K41" s="250">
        <f t="shared" si="9"/>
        <v>5.4177552970565458E-3</v>
      </c>
      <c r="L41" s="873">
        <f t="shared" si="10"/>
        <v>5.708519102973042E-3</v>
      </c>
      <c r="M41" s="109"/>
      <c r="N41" s="23"/>
      <c r="O41" s="23"/>
      <c r="P41" s="23"/>
      <c r="Q41" s="840"/>
      <c r="R41" s="841"/>
      <c r="S41" s="840"/>
      <c r="T41" s="23"/>
      <c r="U41" s="711"/>
      <c r="V41" s="23"/>
      <c r="W41" s="23"/>
    </row>
    <row r="42" spans="1:23" ht="13">
      <c r="A42" s="266"/>
      <c r="B42" s="445">
        <v>21</v>
      </c>
      <c r="C42" s="903">
        <f t="shared" si="0"/>
        <v>622702749.44000006</v>
      </c>
      <c r="D42" s="902">
        <f t="shared" si="1"/>
        <v>1724722.17</v>
      </c>
      <c r="E42" s="902">
        <f t="shared" si="2"/>
        <v>5293904.22</v>
      </c>
      <c r="F42" s="902">
        <f t="shared" si="3"/>
        <v>2805141.57</v>
      </c>
      <c r="G42" s="902">
        <f t="shared" si="4"/>
        <v>4336865.29</v>
      </c>
      <c r="H42" s="530">
        <f t="shared" si="6"/>
        <v>0.97725940143554091</v>
      </c>
      <c r="I42" s="250">
        <f t="shared" si="7"/>
        <v>2.7697359158138485E-3</v>
      </c>
      <c r="J42" s="250">
        <f t="shared" si="8"/>
        <v>8.50149485410308E-3</v>
      </c>
      <c r="K42" s="250">
        <f t="shared" si="9"/>
        <v>4.5047843012138277E-3</v>
      </c>
      <c r="L42" s="873">
        <f t="shared" si="10"/>
        <v>6.9645834933283442E-3</v>
      </c>
      <c r="M42" s="109"/>
      <c r="N42" s="23"/>
      <c r="O42" s="23"/>
      <c r="P42" s="23"/>
      <c r="Q42" s="840"/>
      <c r="R42" s="841"/>
      <c r="S42" s="840"/>
      <c r="T42" s="23"/>
      <c r="U42" s="711"/>
      <c r="V42" s="23"/>
      <c r="W42" s="23"/>
    </row>
    <row r="43" spans="1:23" ht="13">
      <c r="A43" s="266"/>
      <c r="B43" s="445">
        <v>22</v>
      </c>
      <c r="C43" s="903">
        <f t="shared" si="0"/>
        <v>603149210.98000002</v>
      </c>
      <c r="D43" s="902">
        <f t="shared" si="1"/>
        <v>3706944.68</v>
      </c>
      <c r="E43" s="902">
        <f t="shared" si="2"/>
        <v>1515086.07</v>
      </c>
      <c r="F43" s="902">
        <f t="shared" si="3"/>
        <v>5002133.84</v>
      </c>
      <c r="G43" s="902">
        <f t="shared" si="4"/>
        <v>3956239.96</v>
      </c>
      <c r="H43" s="530">
        <f t="shared" si="6"/>
        <v>0.97648939219043385</v>
      </c>
      <c r="I43" s="250">
        <f t="shared" si="7"/>
        <v>6.1459828057752689E-3</v>
      </c>
      <c r="J43" s="250">
        <f t="shared" si="8"/>
        <v>2.5119589687239751E-3</v>
      </c>
      <c r="K43" s="250">
        <f t="shared" si="9"/>
        <v>8.2933604967707856E-3</v>
      </c>
      <c r="L43" s="873">
        <f t="shared" si="10"/>
        <v>6.5593055382960385E-3</v>
      </c>
      <c r="M43" s="109"/>
      <c r="N43" s="23"/>
      <c r="O43" s="846"/>
      <c r="P43" s="23"/>
      <c r="Q43" s="840"/>
      <c r="R43" s="841"/>
      <c r="S43" s="841"/>
      <c r="T43" s="23"/>
      <c r="U43" s="23"/>
      <c r="V43" s="23"/>
      <c r="W43" s="812"/>
    </row>
    <row r="44" spans="1:23" ht="13">
      <c r="A44" s="266"/>
      <c r="B44" s="445">
        <v>23</v>
      </c>
      <c r="C44" s="903">
        <f t="shared" si="0"/>
        <v>583440638.30999994</v>
      </c>
      <c r="D44" s="902">
        <f t="shared" si="1"/>
        <v>3063567.44</v>
      </c>
      <c r="E44" s="902">
        <f t="shared" si="2"/>
        <v>4542905.75</v>
      </c>
      <c r="F44" s="902">
        <f t="shared" si="3"/>
        <v>1137245.27</v>
      </c>
      <c r="G44" s="902">
        <f t="shared" si="4"/>
        <v>5657088.0099999998</v>
      </c>
      <c r="H44" s="530">
        <f t="shared" si="6"/>
        <v>0.97531744358481176</v>
      </c>
      <c r="I44" s="250">
        <f t="shared" si="7"/>
        <v>5.2508639934200681E-3</v>
      </c>
      <c r="J44" s="250">
        <f t="shared" si="8"/>
        <v>7.7864061083558166E-3</v>
      </c>
      <c r="K44" s="250">
        <f t="shared" si="9"/>
        <v>1.94920476107759E-3</v>
      </c>
      <c r="L44" s="873">
        <f t="shared" si="10"/>
        <v>9.6960815523347461E-3</v>
      </c>
      <c r="M44" s="109"/>
      <c r="O44" s="23"/>
      <c r="P44" s="23"/>
      <c r="Q44" s="840"/>
      <c r="R44" s="841"/>
      <c r="S44" s="841"/>
      <c r="T44" s="23"/>
      <c r="U44" s="23"/>
      <c r="V44" s="23"/>
      <c r="W44" s="817"/>
    </row>
    <row r="45" spans="1:23" ht="13">
      <c r="A45" s="266"/>
      <c r="B45" s="445">
        <v>24</v>
      </c>
      <c r="C45" s="903">
        <f t="shared" si="0"/>
        <v>565909952.76999998</v>
      </c>
      <c r="D45" s="902">
        <f t="shared" si="1"/>
        <v>3306208.91</v>
      </c>
      <c r="E45" s="902">
        <f t="shared" si="2"/>
        <v>1427173.89</v>
      </c>
      <c r="F45" s="902">
        <f t="shared" si="3"/>
        <v>3651564.26</v>
      </c>
      <c r="G45" s="902">
        <f t="shared" si="4"/>
        <v>6420399.5199999996</v>
      </c>
      <c r="H45" s="530">
        <f t="shared" si="6"/>
        <v>0.97383798163023794</v>
      </c>
      <c r="I45" s="250">
        <f t="shared" si="7"/>
        <v>5.8422879714641216E-3</v>
      </c>
      <c r="J45" s="250">
        <f t="shared" si="8"/>
        <v>2.5219098604191527E-3</v>
      </c>
      <c r="K45" s="250">
        <f t="shared" si="9"/>
        <v>6.4525535239774922E-3</v>
      </c>
      <c r="L45" s="873">
        <f t="shared" si="10"/>
        <v>1.1345267013901435E-2</v>
      </c>
      <c r="M45" s="838"/>
      <c r="O45" s="839"/>
      <c r="P45" s="23"/>
      <c r="Q45" s="840"/>
      <c r="R45" s="841"/>
      <c r="S45" s="841"/>
      <c r="T45" s="23"/>
      <c r="U45" s="23"/>
      <c r="V45" s="23"/>
      <c r="W45" s="711"/>
    </row>
    <row r="46" spans="1:23" ht="13">
      <c r="A46" s="266"/>
      <c r="B46" s="445">
        <v>25</v>
      </c>
      <c r="C46" s="903">
        <f t="shared" si="0"/>
        <v>545962122.88999999</v>
      </c>
      <c r="D46" s="902">
        <f t="shared" si="1"/>
        <v>960056.11</v>
      </c>
      <c r="E46" s="902">
        <f t="shared" si="2"/>
        <v>2701557.49</v>
      </c>
      <c r="F46" s="902">
        <f t="shared" si="3"/>
        <v>3345553.36</v>
      </c>
      <c r="G46" s="902">
        <f t="shared" si="4"/>
        <v>6427218.9100000001</v>
      </c>
      <c r="H46" s="530">
        <f t="shared" si="6"/>
        <v>0.97539319065050445</v>
      </c>
      <c r="I46" s="250">
        <f t="shared" si="7"/>
        <v>1.7584665121419629E-3</v>
      </c>
      <c r="J46" s="250">
        <f t="shared" si="8"/>
        <v>4.9482507608761498E-3</v>
      </c>
      <c r="K46" s="250">
        <f t="shared" si="9"/>
        <v>6.1278122047929307E-3</v>
      </c>
      <c r="L46" s="873">
        <f t="shared" si="10"/>
        <v>1.1772279871684343E-2</v>
      </c>
      <c r="M46" s="109"/>
      <c r="N46" s="23"/>
      <c r="O46" s="23"/>
      <c r="P46" s="23"/>
      <c r="Q46" s="840"/>
      <c r="R46" s="841"/>
      <c r="S46" s="840"/>
      <c r="T46" s="23"/>
      <c r="U46" s="711"/>
      <c r="V46" s="23"/>
      <c r="W46" s="23"/>
    </row>
    <row r="47" spans="1:23" ht="13">
      <c r="A47" s="266"/>
      <c r="B47" s="445">
        <v>26</v>
      </c>
      <c r="C47" s="903">
        <f t="shared" si="0"/>
        <v>528523069.44999999</v>
      </c>
      <c r="D47" s="902">
        <f t="shared" si="1"/>
        <v>3189559.07</v>
      </c>
      <c r="E47" s="902">
        <f t="shared" si="2"/>
        <v>2926119.46</v>
      </c>
      <c r="F47" s="902">
        <f t="shared" si="3"/>
        <v>2970998.71</v>
      </c>
      <c r="G47" s="902">
        <f t="shared" si="4"/>
        <v>4061844.91</v>
      </c>
      <c r="H47" s="530">
        <f t="shared" si="6"/>
        <v>0.97512214147306231</v>
      </c>
      <c r="I47" s="250">
        <f t="shared" si="7"/>
        <v>6.0348530733373082E-3</v>
      </c>
      <c r="J47" s="250">
        <f t="shared" si="8"/>
        <v>5.5364082083399395E-3</v>
      </c>
      <c r="K47" s="250">
        <f t="shared" si="9"/>
        <v>5.6213226663724015E-3</v>
      </c>
      <c r="L47" s="873">
        <f t="shared" si="10"/>
        <v>7.6852745788881099E-3</v>
      </c>
      <c r="M47" s="109"/>
      <c r="N47" s="23"/>
      <c r="O47" s="23"/>
      <c r="P47" s="23"/>
      <c r="Q47" s="840"/>
      <c r="R47" s="841"/>
      <c r="S47" s="840"/>
      <c r="T47" s="23"/>
      <c r="U47" s="711"/>
      <c r="V47" s="23"/>
      <c r="W47" s="23"/>
    </row>
    <row r="48" spans="1:23" ht="13">
      <c r="A48" s="266"/>
      <c r="B48" s="445">
        <v>27</v>
      </c>
      <c r="C48" s="903">
        <f t="shared" si="0"/>
        <v>510138365.52999997</v>
      </c>
      <c r="D48" s="902">
        <f t="shared" si="1"/>
        <v>2373324.7599999998</v>
      </c>
      <c r="E48" s="902">
        <f t="shared" si="2"/>
        <v>1304176.32</v>
      </c>
      <c r="F48" s="902">
        <f t="shared" si="3"/>
        <v>2610316.0499999998</v>
      </c>
      <c r="G48" s="902">
        <f t="shared" si="4"/>
        <v>4758636.4000000004</v>
      </c>
      <c r="H48" s="530">
        <f t="shared" si="6"/>
        <v>0.97834616198975066</v>
      </c>
      <c r="I48" s="250">
        <f t="shared" si="7"/>
        <v>4.6523157644382867E-3</v>
      </c>
      <c r="J48" s="250">
        <f t="shared" si="8"/>
        <v>2.5565148754202152E-3</v>
      </c>
      <c r="K48" s="250">
        <f t="shared" si="9"/>
        <v>5.1168785301769146E-3</v>
      </c>
      <c r="L48" s="873">
        <f t="shared" si="10"/>
        <v>9.3281288402139537E-3</v>
      </c>
      <c r="M48" s="109"/>
      <c r="N48" s="23"/>
      <c r="O48" s="846"/>
      <c r="P48" s="23"/>
      <c r="Q48" s="840"/>
      <c r="R48" s="841"/>
      <c r="S48" s="841"/>
      <c r="T48" s="23"/>
      <c r="U48" s="23"/>
      <c r="V48" s="23"/>
      <c r="W48" s="23"/>
    </row>
    <row r="49" spans="1:23" ht="12.75" customHeight="1">
      <c r="A49" s="266"/>
      <c r="B49" s="445">
        <v>28</v>
      </c>
      <c r="C49" s="903" t="str">
        <f t="shared" si="0"/>
        <v/>
      </c>
      <c r="D49" s="902" t="str">
        <f t="shared" si="1"/>
        <v/>
      </c>
      <c r="E49" s="902" t="str">
        <f t="shared" si="2"/>
        <v/>
      </c>
      <c r="F49" s="902" t="str">
        <f t="shared" si="3"/>
        <v/>
      </c>
      <c r="G49" s="902" t="str">
        <f t="shared" si="4"/>
        <v/>
      </c>
      <c r="H49" s="530" t="str">
        <f t="shared" si="6"/>
        <v/>
      </c>
      <c r="I49" s="250" t="str">
        <f t="shared" si="7"/>
        <v/>
      </c>
      <c r="J49" s="250" t="str">
        <f t="shared" si="8"/>
        <v/>
      </c>
      <c r="K49" s="250" t="str">
        <f t="shared" si="9"/>
        <v/>
      </c>
      <c r="L49" s="873" t="str">
        <f t="shared" si="10"/>
        <v/>
      </c>
      <c r="M49" s="109"/>
      <c r="Q49" s="854"/>
      <c r="S49" s="855"/>
      <c r="U49" s="23"/>
      <c r="V49" s="23"/>
      <c r="W49" s="23"/>
    </row>
    <row r="50" spans="1:23" ht="12.75" customHeight="1">
      <c r="A50" s="266"/>
      <c r="B50" s="445">
        <v>29</v>
      </c>
      <c r="C50" s="903" t="str">
        <f t="shared" si="0"/>
        <v/>
      </c>
      <c r="D50" s="902" t="str">
        <f t="shared" si="1"/>
        <v/>
      </c>
      <c r="E50" s="902" t="str">
        <f t="shared" si="2"/>
        <v/>
      </c>
      <c r="F50" s="902" t="str">
        <f t="shared" si="3"/>
        <v/>
      </c>
      <c r="G50" s="902" t="str">
        <f t="shared" si="4"/>
        <v/>
      </c>
      <c r="H50" s="530" t="str">
        <f t="shared" si="6"/>
        <v/>
      </c>
      <c r="I50" s="250" t="str">
        <f t="shared" si="7"/>
        <v/>
      </c>
      <c r="J50" s="250" t="str">
        <f t="shared" si="8"/>
        <v/>
      </c>
      <c r="K50" s="250" t="str">
        <f t="shared" si="9"/>
        <v/>
      </c>
      <c r="L50" s="873" t="str">
        <f t="shared" si="10"/>
        <v/>
      </c>
      <c r="M50" s="109"/>
      <c r="Q50" s="854"/>
      <c r="S50" s="855"/>
      <c r="U50" s="23"/>
      <c r="V50" s="23"/>
      <c r="W50" s="23"/>
    </row>
    <row r="51" spans="1:23" ht="12.75" customHeight="1">
      <c r="A51" s="266"/>
      <c r="B51" s="445">
        <v>30</v>
      </c>
      <c r="C51" s="903" t="str">
        <f t="shared" si="0"/>
        <v/>
      </c>
      <c r="D51" s="902" t="str">
        <f t="shared" si="1"/>
        <v/>
      </c>
      <c r="E51" s="902" t="str">
        <f t="shared" si="2"/>
        <v/>
      </c>
      <c r="F51" s="902" t="str">
        <f t="shared" si="3"/>
        <v/>
      </c>
      <c r="G51" s="902" t="str">
        <f t="shared" si="4"/>
        <v/>
      </c>
      <c r="H51" s="530" t="str">
        <f t="shared" si="6"/>
        <v/>
      </c>
      <c r="I51" s="250" t="str">
        <f t="shared" si="7"/>
        <v/>
      </c>
      <c r="J51" s="250" t="str">
        <f t="shared" si="8"/>
        <v/>
      </c>
      <c r="K51" s="250" t="str">
        <f t="shared" si="9"/>
        <v/>
      </c>
      <c r="L51" s="873" t="str">
        <f t="shared" si="10"/>
        <v/>
      </c>
      <c r="M51" s="109"/>
      <c r="Q51" s="854"/>
      <c r="S51" s="855"/>
      <c r="U51" s="23"/>
      <c r="V51" s="23"/>
      <c r="W51" s="23"/>
    </row>
    <row r="52" spans="1:23" ht="12.75" customHeight="1">
      <c r="A52" s="266"/>
      <c r="B52" s="445">
        <v>31</v>
      </c>
      <c r="C52" s="903" t="str">
        <f t="shared" si="0"/>
        <v/>
      </c>
      <c r="D52" s="902" t="str">
        <f t="shared" si="1"/>
        <v/>
      </c>
      <c r="E52" s="902" t="str">
        <f t="shared" si="2"/>
        <v/>
      </c>
      <c r="F52" s="902" t="str">
        <f t="shared" si="3"/>
        <v/>
      </c>
      <c r="G52" s="902" t="str">
        <f t="shared" si="4"/>
        <v/>
      </c>
      <c r="H52" s="530" t="str">
        <f t="shared" si="6"/>
        <v/>
      </c>
      <c r="I52" s="250" t="str">
        <f t="shared" si="7"/>
        <v/>
      </c>
      <c r="J52" s="250" t="str">
        <f t="shared" si="8"/>
        <v/>
      </c>
      <c r="K52" s="250" t="str">
        <f t="shared" si="9"/>
        <v/>
      </c>
      <c r="L52" s="873" t="str">
        <f t="shared" si="10"/>
        <v/>
      </c>
      <c r="M52" s="109"/>
      <c r="Q52" s="854"/>
      <c r="S52" s="855"/>
      <c r="U52" s="23"/>
      <c r="V52" s="23"/>
      <c r="W52" s="23"/>
    </row>
    <row r="53" spans="1:23" ht="12.75" customHeight="1">
      <c r="A53" s="266"/>
      <c r="B53" s="445">
        <v>32</v>
      </c>
      <c r="C53" s="903" t="str">
        <f t="shared" si="0"/>
        <v/>
      </c>
      <c r="D53" s="902" t="str">
        <f t="shared" si="1"/>
        <v/>
      </c>
      <c r="E53" s="902" t="str">
        <f t="shared" si="2"/>
        <v/>
      </c>
      <c r="F53" s="902" t="str">
        <f t="shared" si="3"/>
        <v/>
      </c>
      <c r="G53" s="902" t="str">
        <f t="shared" si="4"/>
        <v/>
      </c>
      <c r="H53" s="530" t="str">
        <f t="shared" si="6"/>
        <v/>
      </c>
      <c r="I53" s="250" t="str">
        <f t="shared" si="7"/>
        <v/>
      </c>
      <c r="J53" s="250" t="str">
        <f t="shared" si="8"/>
        <v/>
      </c>
      <c r="K53" s="250" t="str">
        <f t="shared" si="9"/>
        <v/>
      </c>
      <c r="L53" s="873" t="str">
        <f t="shared" si="10"/>
        <v/>
      </c>
      <c r="M53" s="109"/>
      <c r="Q53" s="854"/>
      <c r="S53" s="855"/>
      <c r="U53" s="23"/>
      <c r="V53" s="23"/>
      <c r="W53" s="23"/>
    </row>
    <row r="54" spans="1:23" ht="12.75" customHeight="1">
      <c r="A54" s="266"/>
      <c r="B54" s="445">
        <v>33</v>
      </c>
      <c r="C54" s="903" t="str">
        <f t="shared" ref="C54:C85" si="11">IF($F$4&gt;=B54,VLOOKUP(CONCATENATE("delinquency_",$B54),delinquencies,2,0),"")</f>
        <v/>
      </c>
      <c r="D54" s="902" t="str">
        <f t="shared" ref="D54:D85" si="12">IF($F$4&gt;=B54,VLOOKUP(CONCATENATE("delinquency_",$B54),delinquencies,3,0),"")</f>
        <v/>
      </c>
      <c r="E54" s="902" t="str">
        <f t="shared" ref="E54:E85" si="13">IF($F$4&gt;=B54,VLOOKUP(CONCATENATE("delinquency_",$B54),delinquencies,4,0),"")</f>
        <v/>
      </c>
      <c r="F54" s="902" t="str">
        <f t="shared" ref="F54:F85" si="14">IF($F$4&gt;=B54,VLOOKUP(CONCATENATE("delinquency_",$B54),delinquencies,5,0),"")</f>
        <v/>
      </c>
      <c r="G54" s="902" t="str">
        <f t="shared" ref="G54:G85" si="15">IF($F$4&gt;=B54,VLOOKUP(CONCATENATE("delinquency_",$B54),delinquencies,6,0),"")</f>
        <v/>
      </c>
      <c r="H54" s="530" t="str">
        <f t="shared" si="6"/>
        <v/>
      </c>
      <c r="I54" s="250" t="str">
        <f t="shared" si="7"/>
        <v/>
      </c>
      <c r="J54" s="250" t="str">
        <f t="shared" si="8"/>
        <v/>
      </c>
      <c r="K54" s="250" t="str">
        <f t="shared" si="9"/>
        <v/>
      </c>
      <c r="L54" s="873" t="str">
        <f t="shared" si="10"/>
        <v/>
      </c>
      <c r="M54" s="109"/>
      <c r="Q54" s="854"/>
      <c r="S54" s="855"/>
      <c r="U54" s="23"/>
      <c r="V54" s="23"/>
      <c r="W54" s="23"/>
    </row>
    <row r="55" spans="1:23" ht="12.75" customHeight="1">
      <c r="A55" s="266"/>
      <c r="B55" s="445">
        <v>34</v>
      </c>
      <c r="C55" s="903" t="str">
        <f t="shared" si="11"/>
        <v/>
      </c>
      <c r="D55" s="902" t="str">
        <f t="shared" si="12"/>
        <v/>
      </c>
      <c r="E55" s="902" t="str">
        <f t="shared" si="13"/>
        <v/>
      </c>
      <c r="F55" s="902" t="str">
        <f t="shared" si="14"/>
        <v/>
      </c>
      <c r="G55" s="902" t="str">
        <f t="shared" si="15"/>
        <v/>
      </c>
      <c r="H55" s="530" t="str">
        <f t="shared" si="6"/>
        <v/>
      </c>
      <c r="I55" s="250" t="str">
        <f t="shared" si="7"/>
        <v/>
      </c>
      <c r="J55" s="250" t="str">
        <f t="shared" si="8"/>
        <v/>
      </c>
      <c r="K55" s="250" t="str">
        <f t="shared" si="9"/>
        <v/>
      </c>
      <c r="L55" s="873" t="str">
        <f t="shared" si="10"/>
        <v/>
      </c>
      <c r="M55" s="109"/>
      <c r="Q55" s="854"/>
      <c r="S55" s="855"/>
      <c r="U55" s="23"/>
      <c r="V55" s="23"/>
      <c r="W55" s="23"/>
    </row>
    <row r="56" spans="1:23" ht="12.75" customHeight="1">
      <c r="A56" s="266"/>
      <c r="B56" s="445">
        <v>35</v>
      </c>
      <c r="C56" s="903" t="str">
        <f t="shared" si="11"/>
        <v/>
      </c>
      <c r="D56" s="902" t="str">
        <f t="shared" si="12"/>
        <v/>
      </c>
      <c r="E56" s="902" t="str">
        <f t="shared" si="13"/>
        <v/>
      </c>
      <c r="F56" s="902" t="str">
        <f t="shared" si="14"/>
        <v/>
      </c>
      <c r="G56" s="902" t="str">
        <f t="shared" si="15"/>
        <v/>
      </c>
      <c r="H56" s="530" t="str">
        <f t="shared" si="6"/>
        <v/>
      </c>
      <c r="I56" s="250" t="str">
        <f t="shared" si="7"/>
        <v/>
      </c>
      <c r="J56" s="250" t="str">
        <f t="shared" si="8"/>
        <v/>
      </c>
      <c r="K56" s="250" t="str">
        <f t="shared" si="9"/>
        <v/>
      </c>
      <c r="L56" s="873" t="str">
        <f t="shared" si="10"/>
        <v/>
      </c>
      <c r="M56" s="109"/>
      <c r="Q56" s="854"/>
      <c r="S56" s="855"/>
      <c r="U56" s="23"/>
      <c r="V56" s="23"/>
      <c r="W56" s="23"/>
    </row>
    <row r="57" spans="1:23" ht="12.75" customHeight="1">
      <c r="A57" s="266"/>
      <c r="B57" s="445">
        <v>36</v>
      </c>
      <c r="C57" s="903" t="str">
        <f t="shared" si="11"/>
        <v/>
      </c>
      <c r="D57" s="902" t="str">
        <f t="shared" si="12"/>
        <v/>
      </c>
      <c r="E57" s="902" t="str">
        <f t="shared" si="13"/>
        <v/>
      </c>
      <c r="F57" s="902" t="str">
        <f t="shared" si="14"/>
        <v/>
      </c>
      <c r="G57" s="902" t="str">
        <f t="shared" si="15"/>
        <v/>
      </c>
      <c r="H57" s="530" t="str">
        <f t="shared" si="6"/>
        <v/>
      </c>
      <c r="I57" s="250" t="str">
        <f t="shared" si="7"/>
        <v/>
      </c>
      <c r="J57" s="250" t="str">
        <f t="shared" si="8"/>
        <v/>
      </c>
      <c r="K57" s="250" t="str">
        <f t="shared" si="9"/>
        <v/>
      </c>
      <c r="L57" s="873" t="str">
        <f t="shared" si="10"/>
        <v/>
      </c>
      <c r="M57" s="109"/>
      <c r="Q57" s="854"/>
      <c r="S57" s="855"/>
      <c r="U57" s="23"/>
      <c r="V57" s="23"/>
      <c r="W57" s="23"/>
    </row>
    <row r="58" spans="1:23" ht="12.75" customHeight="1">
      <c r="A58" s="266"/>
      <c r="B58" s="445">
        <v>37</v>
      </c>
      <c r="C58" s="903" t="str">
        <f t="shared" si="11"/>
        <v/>
      </c>
      <c r="D58" s="902" t="str">
        <f t="shared" si="12"/>
        <v/>
      </c>
      <c r="E58" s="902" t="str">
        <f t="shared" si="13"/>
        <v/>
      </c>
      <c r="F58" s="902" t="str">
        <f t="shared" si="14"/>
        <v/>
      </c>
      <c r="G58" s="902" t="str">
        <f t="shared" si="15"/>
        <v/>
      </c>
      <c r="H58" s="530" t="str">
        <f t="shared" si="6"/>
        <v/>
      </c>
      <c r="I58" s="250" t="str">
        <f t="shared" si="7"/>
        <v/>
      </c>
      <c r="J58" s="250" t="str">
        <f t="shared" si="8"/>
        <v/>
      </c>
      <c r="K58" s="250" t="str">
        <f t="shared" si="9"/>
        <v/>
      </c>
      <c r="L58" s="873" t="str">
        <f t="shared" si="10"/>
        <v/>
      </c>
      <c r="M58" s="109"/>
      <c r="Q58" s="854"/>
      <c r="S58" s="855"/>
      <c r="U58" s="23"/>
      <c r="V58" s="23"/>
      <c r="W58" s="23"/>
    </row>
    <row r="59" spans="1:23" ht="12.75" customHeight="1">
      <c r="A59" s="266"/>
      <c r="B59" s="445">
        <v>38</v>
      </c>
      <c r="C59" s="903" t="str">
        <f t="shared" si="11"/>
        <v/>
      </c>
      <c r="D59" s="902" t="str">
        <f t="shared" si="12"/>
        <v/>
      </c>
      <c r="E59" s="902" t="str">
        <f t="shared" si="13"/>
        <v/>
      </c>
      <c r="F59" s="902" t="str">
        <f t="shared" si="14"/>
        <v/>
      </c>
      <c r="G59" s="902" t="str">
        <f t="shared" si="15"/>
        <v/>
      </c>
      <c r="H59" s="530" t="str">
        <f t="shared" si="6"/>
        <v/>
      </c>
      <c r="I59" s="250" t="str">
        <f t="shared" si="7"/>
        <v/>
      </c>
      <c r="J59" s="250" t="str">
        <f t="shared" si="8"/>
        <v/>
      </c>
      <c r="K59" s="250" t="str">
        <f t="shared" si="9"/>
        <v/>
      </c>
      <c r="L59" s="873" t="str">
        <f t="shared" si="10"/>
        <v/>
      </c>
      <c r="M59" s="109"/>
      <c r="Q59" s="854"/>
      <c r="S59" s="855"/>
      <c r="U59" s="23"/>
      <c r="V59" s="23"/>
      <c r="W59" s="23"/>
    </row>
    <row r="60" spans="1:23" ht="12.75" customHeight="1">
      <c r="A60" s="266"/>
      <c r="B60" s="445">
        <v>39</v>
      </c>
      <c r="C60" s="903" t="str">
        <f t="shared" si="11"/>
        <v/>
      </c>
      <c r="D60" s="902" t="str">
        <f t="shared" si="12"/>
        <v/>
      </c>
      <c r="E60" s="902" t="str">
        <f t="shared" si="13"/>
        <v/>
      </c>
      <c r="F60" s="902" t="str">
        <f t="shared" si="14"/>
        <v/>
      </c>
      <c r="G60" s="902" t="str">
        <f t="shared" si="15"/>
        <v/>
      </c>
      <c r="H60" s="530" t="str">
        <f t="shared" si="6"/>
        <v/>
      </c>
      <c r="I60" s="250" t="str">
        <f t="shared" si="7"/>
        <v/>
      </c>
      <c r="J60" s="250" t="str">
        <f t="shared" si="8"/>
        <v/>
      </c>
      <c r="K60" s="250" t="str">
        <f t="shared" si="9"/>
        <v/>
      </c>
      <c r="L60" s="873" t="str">
        <f t="shared" si="10"/>
        <v/>
      </c>
      <c r="M60" s="109"/>
      <c r="Q60" s="854"/>
      <c r="S60" s="855"/>
      <c r="U60" s="23"/>
      <c r="V60" s="23"/>
      <c r="W60" s="23"/>
    </row>
    <row r="61" spans="1:23" ht="12.75" customHeight="1">
      <c r="A61" s="266"/>
      <c r="B61" s="445">
        <v>40</v>
      </c>
      <c r="C61" s="903" t="str">
        <f t="shared" si="11"/>
        <v/>
      </c>
      <c r="D61" s="902" t="str">
        <f t="shared" si="12"/>
        <v/>
      </c>
      <c r="E61" s="902" t="str">
        <f t="shared" si="13"/>
        <v/>
      </c>
      <c r="F61" s="902" t="str">
        <f t="shared" si="14"/>
        <v/>
      </c>
      <c r="G61" s="902" t="str">
        <f t="shared" si="15"/>
        <v/>
      </c>
      <c r="H61" s="530" t="str">
        <f t="shared" si="6"/>
        <v/>
      </c>
      <c r="I61" s="250" t="str">
        <f t="shared" si="7"/>
        <v/>
      </c>
      <c r="J61" s="250" t="str">
        <f t="shared" si="8"/>
        <v/>
      </c>
      <c r="K61" s="250" t="str">
        <f t="shared" si="9"/>
        <v/>
      </c>
      <c r="L61" s="873" t="str">
        <f t="shared" si="10"/>
        <v/>
      </c>
      <c r="M61" s="109"/>
      <c r="Q61" s="854"/>
      <c r="S61" s="855"/>
      <c r="U61" s="23"/>
      <c r="V61" s="23"/>
      <c r="W61" s="23"/>
    </row>
    <row r="62" spans="1:23" ht="12.75" customHeight="1">
      <c r="A62" s="266"/>
      <c r="B62" s="445">
        <v>41</v>
      </c>
      <c r="C62" s="903" t="str">
        <f t="shared" si="11"/>
        <v/>
      </c>
      <c r="D62" s="902" t="str">
        <f t="shared" si="12"/>
        <v/>
      </c>
      <c r="E62" s="902" t="str">
        <f t="shared" si="13"/>
        <v/>
      </c>
      <c r="F62" s="902" t="str">
        <f t="shared" si="14"/>
        <v/>
      </c>
      <c r="G62" s="902" t="str">
        <f t="shared" si="15"/>
        <v/>
      </c>
      <c r="H62" s="530" t="str">
        <f t="shared" si="6"/>
        <v/>
      </c>
      <c r="I62" s="250" t="str">
        <f t="shared" si="7"/>
        <v/>
      </c>
      <c r="J62" s="250" t="str">
        <f t="shared" si="8"/>
        <v/>
      </c>
      <c r="K62" s="250" t="str">
        <f t="shared" si="9"/>
        <v/>
      </c>
      <c r="L62" s="873" t="str">
        <f t="shared" si="10"/>
        <v/>
      </c>
      <c r="M62" s="109"/>
      <c r="Q62" s="854"/>
      <c r="S62" s="855"/>
      <c r="U62" s="23"/>
      <c r="V62" s="23"/>
      <c r="W62" s="23"/>
    </row>
    <row r="63" spans="1:23" ht="12.75" customHeight="1">
      <c r="A63" s="266"/>
      <c r="B63" s="445">
        <v>42</v>
      </c>
      <c r="C63" s="903" t="str">
        <f t="shared" si="11"/>
        <v/>
      </c>
      <c r="D63" s="902" t="str">
        <f t="shared" si="12"/>
        <v/>
      </c>
      <c r="E63" s="902" t="str">
        <f t="shared" si="13"/>
        <v/>
      </c>
      <c r="F63" s="902" t="str">
        <f t="shared" si="14"/>
        <v/>
      </c>
      <c r="G63" s="902" t="str">
        <f t="shared" si="15"/>
        <v/>
      </c>
      <c r="H63" s="530" t="str">
        <f t="shared" si="6"/>
        <v/>
      </c>
      <c r="I63" s="250" t="str">
        <f t="shared" ref="I63:I101" si="16">IF($B63&lt;=$F$4,D63/$C63,"")</f>
        <v/>
      </c>
      <c r="J63" s="250" t="str">
        <f t="shared" ref="J63:J101" si="17">IF($B63&lt;=$F$4,E63/$C63,"")</f>
        <v/>
      </c>
      <c r="K63" s="250" t="str">
        <f t="shared" ref="K63:K101" si="18">IF($B63&lt;=$F$4,F63/$C63,"")</f>
        <v/>
      </c>
      <c r="L63" s="873" t="str">
        <f t="shared" ref="L63:L101" si="19">IF($B63&lt;=$F$4,G63/$C63,"")</f>
        <v/>
      </c>
      <c r="M63" s="109"/>
      <c r="Q63" s="854"/>
      <c r="S63" s="855"/>
      <c r="U63" s="23"/>
      <c r="V63" s="23"/>
      <c r="W63" s="23"/>
    </row>
    <row r="64" spans="1:23" ht="12.75" customHeight="1">
      <c r="A64" s="266"/>
      <c r="B64" s="445">
        <v>43</v>
      </c>
      <c r="C64" s="903" t="str">
        <f t="shared" si="11"/>
        <v/>
      </c>
      <c r="D64" s="902" t="str">
        <f t="shared" si="12"/>
        <v/>
      </c>
      <c r="E64" s="902" t="str">
        <f t="shared" si="13"/>
        <v/>
      </c>
      <c r="F64" s="902" t="str">
        <f t="shared" si="14"/>
        <v/>
      </c>
      <c r="G64" s="902" t="str">
        <f t="shared" si="15"/>
        <v/>
      </c>
      <c r="H64" s="530" t="str">
        <f t="shared" si="6"/>
        <v/>
      </c>
      <c r="I64" s="250" t="str">
        <f t="shared" si="16"/>
        <v/>
      </c>
      <c r="J64" s="250" t="str">
        <f t="shared" si="17"/>
        <v/>
      </c>
      <c r="K64" s="250" t="str">
        <f t="shared" si="18"/>
        <v/>
      </c>
      <c r="L64" s="873" t="str">
        <f t="shared" si="19"/>
        <v/>
      </c>
      <c r="M64" s="109"/>
      <c r="Q64" s="854"/>
      <c r="S64" s="855"/>
      <c r="U64" s="23"/>
      <c r="V64" s="23"/>
      <c r="W64" s="23"/>
    </row>
    <row r="65" spans="1:23" ht="12.75" customHeight="1">
      <c r="A65" s="266"/>
      <c r="B65" s="445">
        <v>44</v>
      </c>
      <c r="C65" s="903" t="str">
        <f t="shared" si="11"/>
        <v/>
      </c>
      <c r="D65" s="902" t="str">
        <f t="shared" si="12"/>
        <v/>
      </c>
      <c r="E65" s="902" t="str">
        <f t="shared" si="13"/>
        <v/>
      </c>
      <c r="F65" s="902" t="str">
        <f t="shared" si="14"/>
        <v/>
      </c>
      <c r="G65" s="902" t="str">
        <f t="shared" si="15"/>
        <v/>
      </c>
      <c r="H65" s="530" t="str">
        <f t="shared" si="6"/>
        <v/>
      </c>
      <c r="I65" s="250" t="str">
        <f t="shared" si="16"/>
        <v/>
      </c>
      <c r="J65" s="250" t="str">
        <f t="shared" si="17"/>
        <v/>
      </c>
      <c r="K65" s="250" t="str">
        <f t="shared" si="18"/>
        <v/>
      </c>
      <c r="L65" s="873" t="str">
        <f t="shared" si="19"/>
        <v/>
      </c>
      <c r="M65" s="109"/>
      <c r="Q65" s="854"/>
      <c r="S65" s="855"/>
      <c r="U65" s="23"/>
      <c r="V65" s="23"/>
      <c r="W65" s="23"/>
    </row>
    <row r="66" spans="1:23" ht="12.75" customHeight="1">
      <c r="A66" s="266"/>
      <c r="B66" s="445">
        <v>45</v>
      </c>
      <c r="C66" s="903" t="str">
        <f t="shared" si="11"/>
        <v/>
      </c>
      <c r="D66" s="902" t="str">
        <f t="shared" si="12"/>
        <v/>
      </c>
      <c r="E66" s="902" t="str">
        <f t="shared" si="13"/>
        <v/>
      </c>
      <c r="F66" s="902" t="str">
        <f t="shared" si="14"/>
        <v/>
      </c>
      <c r="G66" s="902" t="str">
        <f t="shared" si="15"/>
        <v/>
      </c>
      <c r="H66" s="530" t="str">
        <f t="shared" si="6"/>
        <v/>
      </c>
      <c r="I66" s="250" t="str">
        <f t="shared" si="16"/>
        <v/>
      </c>
      <c r="J66" s="250" t="str">
        <f t="shared" si="17"/>
        <v/>
      </c>
      <c r="K66" s="250" t="str">
        <f t="shared" si="18"/>
        <v/>
      </c>
      <c r="L66" s="873" t="str">
        <f t="shared" si="19"/>
        <v/>
      </c>
      <c r="M66" s="109"/>
      <c r="Q66" s="854"/>
      <c r="S66" s="855"/>
      <c r="U66" s="23"/>
      <c r="V66" s="23"/>
      <c r="W66" s="23"/>
    </row>
    <row r="67" spans="1:23" ht="12.75" customHeight="1">
      <c r="A67" s="266"/>
      <c r="B67" s="445">
        <v>46</v>
      </c>
      <c r="C67" s="903" t="str">
        <f t="shared" si="11"/>
        <v/>
      </c>
      <c r="D67" s="902" t="str">
        <f t="shared" si="12"/>
        <v/>
      </c>
      <c r="E67" s="902" t="str">
        <f t="shared" si="13"/>
        <v/>
      </c>
      <c r="F67" s="902" t="str">
        <f t="shared" si="14"/>
        <v/>
      </c>
      <c r="G67" s="902" t="str">
        <f t="shared" si="15"/>
        <v/>
      </c>
      <c r="H67" s="530" t="str">
        <f t="shared" si="6"/>
        <v/>
      </c>
      <c r="I67" s="250" t="str">
        <f t="shared" si="16"/>
        <v/>
      </c>
      <c r="J67" s="250" t="str">
        <f t="shared" si="17"/>
        <v/>
      </c>
      <c r="K67" s="250" t="str">
        <f t="shared" si="18"/>
        <v/>
      </c>
      <c r="L67" s="873" t="str">
        <f t="shared" si="19"/>
        <v/>
      </c>
      <c r="M67" s="109"/>
      <c r="Q67" s="854"/>
      <c r="S67" s="855"/>
      <c r="U67" s="23"/>
      <c r="V67" s="23"/>
      <c r="W67" s="23"/>
    </row>
    <row r="68" spans="1:23" ht="12.75" customHeight="1">
      <c r="A68" s="266"/>
      <c r="B68" s="445">
        <v>47</v>
      </c>
      <c r="C68" s="903" t="str">
        <f t="shared" si="11"/>
        <v/>
      </c>
      <c r="D68" s="902" t="str">
        <f t="shared" si="12"/>
        <v/>
      </c>
      <c r="E68" s="902" t="str">
        <f t="shared" si="13"/>
        <v/>
      </c>
      <c r="F68" s="902" t="str">
        <f t="shared" si="14"/>
        <v/>
      </c>
      <c r="G68" s="902" t="str">
        <f t="shared" si="15"/>
        <v/>
      </c>
      <c r="H68" s="530" t="str">
        <f t="shared" si="6"/>
        <v/>
      </c>
      <c r="I68" s="250" t="str">
        <f t="shared" si="16"/>
        <v/>
      </c>
      <c r="J68" s="250" t="str">
        <f t="shared" si="17"/>
        <v/>
      </c>
      <c r="K68" s="250" t="str">
        <f t="shared" si="18"/>
        <v/>
      </c>
      <c r="L68" s="873" t="str">
        <f t="shared" si="19"/>
        <v/>
      </c>
      <c r="M68" s="109"/>
      <c r="Q68" s="854"/>
      <c r="S68" s="855"/>
      <c r="U68" s="23"/>
      <c r="V68" s="23"/>
      <c r="W68" s="23"/>
    </row>
    <row r="69" spans="1:23" ht="12.75" customHeight="1">
      <c r="A69" s="266"/>
      <c r="B69" s="445">
        <v>48</v>
      </c>
      <c r="C69" s="903" t="str">
        <f t="shared" si="11"/>
        <v/>
      </c>
      <c r="D69" s="902" t="str">
        <f t="shared" si="12"/>
        <v/>
      </c>
      <c r="E69" s="902" t="str">
        <f t="shared" si="13"/>
        <v/>
      </c>
      <c r="F69" s="902" t="str">
        <f t="shared" si="14"/>
        <v/>
      </c>
      <c r="G69" s="902" t="str">
        <f t="shared" si="15"/>
        <v/>
      </c>
      <c r="H69" s="530" t="str">
        <f t="shared" si="6"/>
        <v/>
      </c>
      <c r="I69" s="250" t="str">
        <f t="shared" si="16"/>
        <v/>
      </c>
      <c r="J69" s="250" t="str">
        <f t="shared" si="17"/>
        <v/>
      </c>
      <c r="K69" s="250" t="str">
        <f t="shared" si="18"/>
        <v/>
      </c>
      <c r="L69" s="873" t="str">
        <f t="shared" si="19"/>
        <v/>
      </c>
      <c r="M69" s="109"/>
      <c r="Q69" s="854"/>
      <c r="S69" s="855"/>
      <c r="U69" s="23"/>
      <c r="V69" s="23"/>
      <c r="W69" s="23"/>
    </row>
    <row r="70" spans="1:23" ht="12.75" customHeight="1">
      <c r="A70" s="266"/>
      <c r="B70" s="445">
        <v>49</v>
      </c>
      <c r="C70" s="903" t="str">
        <f t="shared" si="11"/>
        <v/>
      </c>
      <c r="D70" s="902" t="str">
        <f t="shared" si="12"/>
        <v/>
      </c>
      <c r="E70" s="902" t="str">
        <f t="shared" si="13"/>
        <v/>
      </c>
      <c r="F70" s="902" t="str">
        <f t="shared" si="14"/>
        <v/>
      </c>
      <c r="G70" s="902" t="str">
        <f t="shared" si="15"/>
        <v/>
      </c>
      <c r="H70" s="530" t="str">
        <f t="shared" si="6"/>
        <v/>
      </c>
      <c r="I70" s="250" t="str">
        <f t="shared" si="16"/>
        <v/>
      </c>
      <c r="J70" s="250" t="str">
        <f t="shared" si="17"/>
        <v/>
      </c>
      <c r="K70" s="250" t="str">
        <f t="shared" si="18"/>
        <v/>
      </c>
      <c r="L70" s="873" t="str">
        <f t="shared" si="19"/>
        <v/>
      </c>
      <c r="M70" s="109"/>
      <c r="Q70" s="854"/>
      <c r="S70" s="855"/>
      <c r="U70" s="23"/>
      <c r="V70" s="23"/>
      <c r="W70" s="23"/>
    </row>
    <row r="71" spans="1:23" ht="12.75" customHeight="1">
      <c r="A71" s="266"/>
      <c r="B71" s="445">
        <v>50</v>
      </c>
      <c r="C71" s="903" t="str">
        <f t="shared" si="11"/>
        <v/>
      </c>
      <c r="D71" s="902" t="str">
        <f t="shared" si="12"/>
        <v/>
      </c>
      <c r="E71" s="902" t="str">
        <f t="shared" si="13"/>
        <v/>
      </c>
      <c r="F71" s="902" t="str">
        <f t="shared" si="14"/>
        <v/>
      </c>
      <c r="G71" s="902" t="str">
        <f t="shared" si="15"/>
        <v/>
      </c>
      <c r="H71" s="530" t="str">
        <f t="shared" si="6"/>
        <v/>
      </c>
      <c r="I71" s="250" t="str">
        <f t="shared" si="16"/>
        <v/>
      </c>
      <c r="J71" s="250" t="str">
        <f t="shared" si="17"/>
        <v/>
      </c>
      <c r="K71" s="250" t="str">
        <f t="shared" si="18"/>
        <v/>
      </c>
      <c r="L71" s="873" t="str">
        <f t="shared" si="19"/>
        <v/>
      </c>
      <c r="M71" s="109"/>
      <c r="Q71" s="854"/>
      <c r="S71" s="855"/>
      <c r="U71" s="23"/>
      <c r="V71" s="23"/>
      <c r="W71" s="23"/>
    </row>
    <row r="72" spans="1:23" ht="12.75" customHeight="1">
      <c r="A72" s="266"/>
      <c r="B72" s="445">
        <v>51</v>
      </c>
      <c r="C72" s="903" t="str">
        <f t="shared" si="11"/>
        <v/>
      </c>
      <c r="D72" s="902" t="str">
        <f t="shared" si="12"/>
        <v/>
      </c>
      <c r="E72" s="902" t="str">
        <f t="shared" si="13"/>
        <v/>
      </c>
      <c r="F72" s="902" t="str">
        <f t="shared" si="14"/>
        <v/>
      </c>
      <c r="G72" s="902" t="str">
        <f t="shared" si="15"/>
        <v/>
      </c>
      <c r="H72" s="530" t="str">
        <f t="shared" si="6"/>
        <v/>
      </c>
      <c r="I72" s="250" t="str">
        <f t="shared" si="16"/>
        <v/>
      </c>
      <c r="J72" s="250" t="str">
        <f t="shared" si="17"/>
        <v/>
      </c>
      <c r="K72" s="250" t="str">
        <f t="shared" si="18"/>
        <v/>
      </c>
      <c r="L72" s="873" t="str">
        <f t="shared" si="19"/>
        <v/>
      </c>
      <c r="M72" s="109"/>
      <c r="Q72" s="854"/>
      <c r="S72" s="855"/>
      <c r="U72" s="23"/>
      <c r="V72" s="23"/>
      <c r="W72" s="23"/>
    </row>
    <row r="73" spans="1:23" ht="12.75" customHeight="1">
      <c r="A73" s="266"/>
      <c r="B73" s="445">
        <v>52</v>
      </c>
      <c r="C73" s="903" t="str">
        <f t="shared" si="11"/>
        <v/>
      </c>
      <c r="D73" s="902" t="str">
        <f t="shared" si="12"/>
        <v/>
      </c>
      <c r="E73" s="902" t="str">
        <f t="shared" si="13"/>
        <v/>
      </c>
      <c r="F73" s="902" t="str">
        <f t="shared" si="14"/>
        <v/>
      </c>
      <c r="G73" s="902" t="str">
        <f t="shared" si="15"/>
        <v/>
      </c>
      <c r="H73" s="530" t="str">
        <f t="shared" si="6"/>
        <v/>
      </c>
      <c r="I73" s="250" t="str">
        <f t="shared" si="16"/>
        <v/>
      </c>
      <c r="J73" s="250" t="str">
        <f t="shared" si="17"/>
        <v/>
      </c>
      <c r="K73" s="250" t="str">
        <f t="shared" si="18"/>
        <v/>
      </c>
      <c r="L73" s="873" t="str">
        <f t="shared" si="19"/>
        <v/>
      </c>
      <c r="M73" s="109"/>
      <c r="Q73" s="854"/>
      <c r="S73" s="855"/>
      <c r="U73" s="23"/>
      <c r="V73" s="23"/>
      <c r="W73" s="23"/>
    </row>
    <row r="74" spans="1:23" ht="12.75" customHeight="1">
      <c r="A74" s="266"/>
      <c r="B74" s="445">
        <v>53</v>
      </c>
      <c r="C74" s="903" t="str">
        <f t="shared" si="11"/>
        <v/>
      </c>
      <c r="D74" s="902" t="str">
        <f t="shared" si="12"/>
        <v/>
      </c>
      <c r="E74" s="902" t="str">
        <f t="shared" si="13"/>
        <v/>
      </c>
      <c r="F74" s="902" t="str">
        <f t="shared" si="14"/>
        <v/>
      </c>
      <c r="G74" s="902" t="str">
        <f t="shared" si="15"/>
        <v/>
      </c>
      <c r="H74" s="530" t="str">
        <f t="shared" si="6"/>
        <v/>
      </c>
      <c r="I74" s="250" t="str">
        <f t="shared" si="16"/>
        <v/>
      </c>
      <c r="J74" s="250" t="str">
        <f t="shared" si="17"/>
        <v/>
      </c>
      <c r="K74" s="250" t="str">
        <f t="shared" si="18"/>
        <v/>
      </c>
      <c r="L74" s="873" t="str">
        <f t="shared" si="19"/>
        <v/>
      </c>
      <c r="M74" s="109"/>
      <c r="Q74" s="854"/>
      <c r="S74" s="855"/>
      <c r="U74" s="23"/>
      <c r="V74" s="23"/>
      <c r="W74" s="23"/>
    </row>
    <row r="75" spans="1:23" ht="12.75" customHeight="1">
      <c r="A75" s="266"/>
      <c r="B75" s="445">
        <v>54</v>
      </c>
      <c r="C75" s="903" t="str">
        <f t="shared" si="11"/>
        <v/>
      </c>
      <c r="D75" s="902" t="str">
        <f t="shared" si="12"/>
        <v/>
      </c>
      <c r="E75" s="902" t="str">
        <f t="shared" si="13"/>
        <v/>
      </c>
      <c r="F75" s="902" t="str">
        <f t="shared" si="14"/>
        <v/>
      </c>
      <c r="G75" s="902" t="str">
        <f t="shared" si="15"/>
        <v/>
      </c>
      <c r="H75" s="530" t="str">
        <f t="shared" si="6"/>
        <v/>
      </c>
      <c r="I75" s="250" t="str">
        <f t="shared" si="16"/>
        <v/>
      </c>
      <c r="J75" s="250" t="str">
        <f t="shared" si="17"/>
        <v/>
      </c>
      <c r="K75" s="250" t="str">
        <f t="shared" si="18"/>
        <v/>
      </c>
      <c r="L75" s="873" t="str">
        <f t="shared" si="19"/>
        <v/>
      </c>
      <c r="M75" s="109"/>
      <c r="Q75" s="854"/>
      <c r="S75" s="855"/>
      <c r="U75" s="23"/>
      <c r="V75" s="23"/>
      <c r="W75" s="23"/>
    </row>
    <row r="76" spans="1:23" ht="12.75" customHeight="1">
      <c r="A76" s="266"/>
      <c r="B76" s="445">
        <v>55</v>
      </c>
      <c r="C76" s="903" t="str">
        <f t="shared" si="11"/>
        <v/>
      </c>
      <c r="D76" s="902" t="str">
        <f t="shared" si="12"/>
        <v/>
      </c>
      <c r="E76" s="902" t="str">
        <f t="shared" si="13"/>
        <v/>
      </c>
      <c r="F76" s="902" t="str">
        <f t="shared" si="14"/>
        <v/>
      </c>
      <c r="G76" s="902" t="str">
        <f t="shared" si="15"/>
        <v/>
      </c>
      <c r="H76" s="530" t="str">
        <f t="shared" si="6"/>
        <v/>
      </c>
      <c r="I76" s="250" t="str">
        <f t="shared" si="16"/>
        <v/>
      </c>
      <c r="J76" s="250" t="str">
        <f t="shared" si="17"/>
        <v/>
      </c>
      <c r="K76" s="250" t="str">
        <f t="shared" si="18"/>
        <v/>
      </c>
      <c r="L76" s="873" t="str">
        <f t="shared" si="19"/>
        <v/>
      </c>
      <c r="M76" s="109"/>
      <c r="Q76" s="854"/>
      <c r="S76" s="855"/>
      <c r="U76" s="23"/>
      <c r="V76" s="23"/>
      <c r="W76" s="23"/>
    </row>
    <row r="77" spans="1:23" ht="12.75" customHeight="1">
      <c r="A77" s="266"/>
      <c r="B77" s="445">
        <v>56</v>
      </c>
      <c r="C77" s="903" t="str">
        <f t="shared" si="11"/>
        <v/>
      </c>
      <c r="D77" s="902" t="str">
        <f t="shared" si="12"/>
        <v/>
      </c>
      <c r="E77" s="902" t="str">
        <f t="shared" si="13"/>
        <v/>
      </c>
      <c r="F77" s="902" t="str">
        <f t="shared" si="14"/>
        <v/>
      </c>
      <c r="G77" s="902" t="str">
        <f t="shared" si="15"/>
        <v/>
      </c>
      <c r="H77" s="530" t="str">
        <f t="shared" si="6"/>
        <v/>
      </c>
      <c r="I77" s="250" t="str">
        <f t="shared" si="16"/>
        <v/>
      </c>
      <c r="J77" s="250" t="str">
        <f t="shared" si="17"/>
        <v/>
      </c>
      <c r="K77" s="250" t="str">
        <f t="shared" si="18"/>
        <v/>
      </c>
      <c r="L77" s="873" t="str">
        <f t="shared" si="19"/>
        <v/>
      </c>
      <c r="M77" s="109"/>
      <c r="Q77" s="854"/>
      <c r="S77" s="855"/>
      <c r="U77" s="23"/>
      <c r="V77" s="23"/>
      <c r="W77" s="23"/>
    </row>
    <row r="78" spans="1:23" ht="12.75" customHeight="1">
      <c r="A78" s="266"/>
      <c r="B78" s="445">
        <v>57</v>
      </c>
      <c r="C78" s="903" t="str">
        <f t="shared" si="11"/>
        <v/>
      </c>
      <c r="D78" s="902" t="str">
        <f t="shared" si="12"/>
        <v/>
      </c>
      <c r="E78" s="902" t="str">
        <f t="shared" si="13"/>
        <v/>
      </c>
      <c r="F78" s="902" t="str">
        <f t="shared" si="14"/>
        <v/>
      </c>
      <c r="G78" s="902" t="str">
        <f t="shared" si="15"/>
        <v/>
      </c>
      <c r="H78" s="530" t="str">
        <f t="shared" si="6"/>
        <v/>
      </c>
      <c r="I78" s="250" t="str">
        <f t="shared" si="16"/>
        <v/>
      </c>
      <c r="J78" s="250" t="str">
        <f t="shared" si="17"/>
        <v/>
      </c>
      <c r="K78" s="250" t="str">
        <f t="shared" si="18"/>
        <v/>
      </c>
      <c r="L78" s="873" t="str">
        <f t="shared" si="19"/>
        <v/>
      </c>
      <c r="M78" s="109"/>
      <c r="Q78" s="854"/>
      <c r="S78" s="855"/>
      <c r="U78" s="23"/>
      <c r="V78" s="23"/>
      <c r="W78" s="23"/>
    </row>
    <row r="79" spans="1:23" ht="12.75" customHeight="1">
      <c r="A79" s="266"/>
      <c r="B79" s="445">
        <v>58</v>
      </c>
      <c r="C79" s="903" t="str">
        <f t="shared" si="11"/>
        <v/>
      </c>
      <c r="D79" s="902" t="str">
        <f t="shared" si="12"/>
        <v/>
      </c>
      <c r="E79" s="902" t="str">
        <f t="shared" si="13"/>
        <v/>
      </c>
      <c r="F79" s="902" t="str">
        <f t="shared" si="14"/>
        <v/>
      </c>
      <c r="G79" s="902" t="str">
        <f t="shared" si="15"/>
        <v/>
      </c>
      <c r="H79" s="530" t="str">
        <f t="shared" si="6"/>
        <v/>
      </c>
      <c r="I79" s="250" t="str">
        <f t="shared" si="16"/>
        <v/>
      </c>
      <c r="J79" s="250" t="str">
        <f t="shared" si="17"/>
        <v/>
      </c>
      <c r="K79" s="250" t="str">
        <f t="shared" si="18"/>
        <v/>
      </c>
      <c r="L79" s="873" t="str">
        <f t="shared" si="19"/>
        <v/>
      </c>
      <c r="M79" s="109"/>
      <c r="Q79" s="854"/>
      <c r="S79" s="855"/>
      <c r="U79" s="23"/>
      <c r="V79" s="23"/>
      <c r="W79" s="23"/>
    </row>
    <row r="80" spans="1:23" ht="12.75" customHeight="1">
      <c r="A80" s="266"/>
      <c r="B80" s="445">
        <v>59</v>
      </c>
      <c r="C80" s="903" t="str">
        <f t="shared" si="11"/>
        <v/>
      </c>
      <c r="D80" s="902" t="str">
        <f t="shared" si="12"/>
        <v/>
      </c>
      <c r="E80" s="902" t="str">
        <f t="shared" si="13"/>
        <v/>
      </c>
      <c r="F80" s="902" t="str">
        <f t="shared" si="14"/>
        <v/>
      </c>
      <c r="G80" s="902" t="str">
        <f t="shared" si="15"/>
        <v/>
      </c>
      <c r="H80" s="530" t="str">
        <f t="shared" si="6"/>
        <v/>
      </c>
      <c r="I80" s="250" t="str">
        <f t="shared" si="16"/>
        <v/>
      </c>
      <c r="J80" s="250" t="str">
        <f t="shared" si="17"/>
        <v/>
      </c>
      <c r="K80" s="250" t="str">
        <f t="shared" si="18"/>
        <v/>
      </c>
      <c r="L80" s="873" t="str">
        <f t="shared" si="19"/>
        <v/>
      </c>
      <c r="M80" s="109"/>
      <c r="Q80" s="854"/>
      <c r="S80" s="855"/>
      <c r="U80" s="23"/>
      <c r="V80" s="23"/>
      <c r="W80" s="23"/>
    </row>
    <row r="81" spans="1:23" ht="12.75" customHeight="1">
      <c r="A81" s="266"/>
      <c r="B81" s="445">
        <v>60</v>
      </c>
      <c r="C81" s="903" t="str">
        <f t="shared" si="11"/>
        <v/>
      </c>
      <c r="D81" s="902" t="str">
        <f t="shared" si="12"/>
        <v/>
      </c>
      <c r="E81" s="902" t="str">
        <f t="shared" si="13"/>
        <v/>
      </c>
      <c r="F81" s="902" t="str">
        <f t="shared" si="14"/>
        <v/>
      </c>
      <c r="G81" s="902" t="str">
        <f t="shared" si="15"/>
        <v/>
      </c>
      <c r="H81" s="530" t="str">
        <f t="shared" si="6"/>
        <v/>
      </c>
      <c r="I81" s="250" t="str">
        <f t="shared" si="16"/>
        <v/>
      </c>
      <c r="J81" s="250" t="str">
        <f t="shared" si="17"/>
        <v/>
      </c>
      <c r="K81" s="250" t="str">
        <f t="shared" si="18"/>
        <v/>
      </c>
      <c r="L81" s="873" t="str">
        <f t="shared" si="19"/>
        <v/>
      </c>
      <c r="M81" s="109"/>
      <c r="Q81" s="854"/>
      <c r="S81" s="855"/>
      <c r="U81" s="23"/>
      <c r="V81" s="23"/>
      <c r="W81" s="23"/>
    </row>
    <row r="82" spans="1:23" ht="12.75" customHeight="1">
      <c r="A82" s="266"/>
      <c r="B82" s="445">
        <v>61</v>
      </c>
      <c r="C82" s="903" t="str">
        <f t="shared" si="11"/>
        <v/>
      </c>
      <c r="D82" s="902" t="str">
        <f t="shared" si="12"/>
        <v/>
      </c>
      <c r="E82" s="902" t="str">
        <f t="shared" si="13"/>
        <v/>
      </c>
      <c r="F82" s="902" t="str">
        <f t="shared" si="14"/>
        <v/>
      </c>
      <c r="G82" s="902" t="str">
        <f t="shared" si="15"/>
        <v/>
      </c>
      <c r="H82" s="530" t="str">
        <f t="shared" si="6"/>
        <v/>
      </c>
      <c r="I82" s="250" t="str">
        <f t="shared" si="16"/>
        <v/>
      </c>
      <c r="J82" s="250" t="str">
        <f t="shared" si="17"/>
        <v/>
      </c>
      <c r="K82" s="250" t="str">
        <f t="shared" si="18"/>
        <v/>
      </c>
      <c r="L82" s="873" t="str">
        <f t="shared" si="19"/>
        <v/>
      </c>
      <c r="M82" s="109"/>
      <c r="Q82" s="854"/>
      <c r="S82" s="855"/>
      <c r="U82" s="23"/>
      <c r="V82" s="23"/>
      <c r="W82" s="23"/>
    </row>
    <row r="83" spans="1:23" ht="12.75" customHeight="1">
      <c r="A83" s="266"/>
      <c r="B83" s="445">
        <v>62</v>
      </c>
      <c r="C83" s="903" t="str">
        <f t="shared" si="11"/>
        <v/>
      </c>
      <c r="D83" s="902" t="str">
        <f t="shared" si="12"/>
        <v/>
      </c>
      <c r="E83" s="902" t="str">
        <f t="shared" si="13"/>
        <v/>
      </c>
      <c r="F83" s="902" t="str">
        <f t="shared" si="14"/>
        <v/>
      </c>
      <c r="G83" s="902" t="str">
        <f t="shared" si="15"/>
        <v/>
      </c>
      <c r="H83" s="530" t="str">
        <f t="shared" si="6"/>
        <v/>
      </c>
      <c r="I83" s="250" t="str">
        <f t="shared" si="16"/>
        <v/>
      </c>
      <c r="J83" s="250" t="str">
        <f t="shared" si="17"/>
        <v/>
      </c>
      <c r="K83" s="250" t="str">
        <f t="shared" si="18"/>
        <v/>
      </c>
      <c r="L83" s="873" t="str">
        <f t="shared" si="19"/>
        <v/>
      </c>
      <c r="M83" s="109"/>
      <c r="Q83" s="854"/>
      <c r="S83" s="855"/>
      <c r="U83" s="23"/>
      <c r="V83" s="23"/>
      <c r="W83" s="23"/>
    </row>
    <row r="84" spans="1:23" ht="12.75" customHeight="1">
      <c r="A84" s="266"/>
      <c r="B84" s="445">
        <v>63</v>
      </c>
      <c r="C84" s="903" t="str">
        <f t="shared" si="11"/>
        <v/>
      </c>
      <c r="D84" s="902" t="str">
        <f t="shared" si="12"/>
        <v/>
      </c>
      <c r="E84" s="902" t="str">
        <f t="shared" si="13"/>
        <v/>
      </c>
      <c r="F84" s="902" t="str">
        <f t="shared" si="14"/>
        <v/>
      </c>
      <c r="G84" s="902" t="str">
        <f t="shared" si="15"/>
        <v/>
      </c>
      <c r="H84" s="530" t="str">
        <f t="shared" si="6"/>
        <v/>
      </c>
      <c r="I84" s="250" t="str">
        <f t="shared" si="16"/>
        <v/>
      </c>
      <c r="J84" s="250" t="str">
        <f t="shared" si="17"/>
        <v/>
      </c>
      <c r="K84" s="250" t="str">
        <f t="shared" si="18"/>
        <v/>
      </c>
      <c r="L84" s="873" t="str">
        <f t="shared" si="19"/>
        <v/>
      </c>
      <c r="M84" s="109"/>
      <c r="Q84" s="854"/>
      <c r="S84" s="855"/>
      <c r="U84" s="23"/>
      <c r="V84" s="23"/>
      <c r="W84" s="23"/>
    </row>
    <row r="85" spans="1:23" ht="12.75" customHeight="1">
      <c r="A85" s="266"/>
      <c r="B85" s="445">
        <v>64</v>
      </c>
      <c r="C85" s="903" t="str">
        <f t="shared" si="11"/>
        <v/>
      </c>
      <c r="D85" s="902" t="str">
        <f t="shared" si="12"/>
        <v/>
      </c>
      <c r="E85" s="902" t="str">
        <f t="shared" si="13"/>
        <v/>
      </c>
      <c r="F85" s="902" t="str">
        <f t="shared" si="14"/>
        <v/>
      </c>
      <c r="G85" s="902" t="str">
        <f t="shared" si="15"/>
        <v/>
      </c>
      <c r="H85" s="530" t="str">
        <f t="shared" si="6"/>
        <v/>
      </c>
      <c r="I85" s="250" t="str">
        <f t="shared" si="16"/>
        <v/>
      </c>
      <c r="J85" s="250" t="str">
        <f t="shared" si="17"/>
        <v/>
      </c>
      <c r="K85" s="250" t="str">
        <f t="shared" si="18"/>
        <v/>
      </c>
      <c r="L85" s="873" t="str">
        <f t="shared" si="19"/>
        <v/>
      </c>
      <c r="M85" s="109"/>
      <c r="Q85" s="854"/>
      <c r="S85" s="855"/>
      <c r="U85" s="23"/>
      <c r="V85" s="23"/>
      <c r="W85" s="23"/>
    </row>
    <row r="86" spans="1:23" ht="12.75" customHeight="1">
      <c r="A86" s="266"/>
      <c r="B86" s="445">
        <v>65</v>
      </c>
      <c r="C86" s="903" t="str">
        <f t="shared" ref="C86:C101" si="20">IF($F$4&gt;=B86,VLOOKUP(CONCATENATE("delinquency_",$B86),delinquencies,2,0),"")</f>
        <v/>
      </c>
      <c r="D86" s="902" t="str">
        <f t="shared" ref="D86:D101" si="21">IF($F$4&gt;=B86,VLOOKUP(CONCATENATE("delinquency_",$B86),delinquencies,3,0),"")</f>
        <v/>
      </c>
      <c r="E86" s="902" t="str">
        <f t="shared" ref="E86:E101" si="22">IF($F$4&gt;=B86,VLOOKUP(CONCATENATE("delinquency_",$B86),delinquencies,4,0),"")</f>
        <v/>
      </c>
      <c r="F86" s="902" t="str">
        <f t="shared" ref="F86:F101" si="23">IF($F$4&gt;=B86,VLOOKUP(CONCATENATE("delinquency_",$B86),delinquencies,5,0),"")</f>
        <v/>
      </c>
      <c r="G86" s="902" t="str">
        <f t="shared" ref="G86:G101" si="24">IF($F$4&gt;=B86,VLOOKUP(CONCATENATE("delinquency_",$B86),delinquencies,6,0),"")</f>
        <v/>
      </c>
      <c r="H86" s="530" t="str">
        <f t="shared" si="6"/>
        <v/>
      </c>
      <c r="I86" s="250" t="str">
        <f t="shared" si="16"/>
        <v/>
      </c>
      <c r="J86" s="250" t="str">
        <f t="shared" si="17"/>
        <v/>
      </c>
      <c r="K86" s="250" t="str">
        <f t="shared" si="18"/>
        <v/>
      </c>
      <c r="L86" s="873" t="str">
        <f t="shared" si="19"/>
        <v/>
      </c>
      <c r="M86" s="109"/>
      <c r="Q86" s="854"/>
      <c r="S86" s="855"/>
      <c r="U86" s="23"/>
      <c r="V86" s="23"/>
      <c r="W86" s="23"/>
    </row>
    <row r="87" spans="1:23" ht="12.75" customHeight="1">
      <c r="A87" s="266"/>
      <c r="B87" s="445">
        <v>66</v>
      </c>
      <c r="C87" s="903" t="str">
        <f t="shared" si="20"/>
        <v/>
      </c>
      <c r="D87" s="902" t="str">
        <f t="shared" si="21"/>
        <v/>
      </c>
      <c r="E87" s="902" t="str">
        <f t="shared" si="22"/>
        <v/>
      </c>
      <c r="F87" s="902" t="str">
        <f t="shared" si="23"/>
        <v/>
      </c>
      <c r="G87" s="902" t="str">
        <f t="shared" si="24"/>
        <v/>
      </c>
      <c r="H87" s="530" t="str">
        <f t="shared" ref="H87:H101" si="25">IF(B87&lt;=$F$4,(C87-D87-E87-F87-G87)/C87,"")</f>
        <v/>
      </c>
      <c r="I87" s="250" t="str">
        <f t="shared" si="16"/>
        <v/>
      </c>
      <c r="J87" s="250" t="str">
        <f t="shared" si="17"/>
        <v/>
      </c>
      <c r="K87" s="250" t="str">
        <f t="shared" si="18"/>
        <v/>
      </c>
      <c r="L87" s="873" t="str">
        <f t="shared" si="19"/>
        <v/>
      </c>
      <c r="M87" s="109"/>
      <c r="Q87" s="854"/>
      <c r="S87" s="855"/>
      <c r="U87" s="23"/>
      <c r="V87" s="23"/>
      <c r="W87" s="23"/>
    </row>
    <row r="88" spans="1:23" ht="12.75" customHeight="1">
      <c r="A88" s="266"/>
      <c r="B88" s="445">
        <v>67</v>
      </c>
      <c r="C88" s="903" t="str">
        <f t="shared" si="20"/>
        <v/>
      </c>
      <c r="D88" s="902" t="str">
        <f t="shared" si="21"/>
        <v/>
      </c>
      <c r="E88" s="902" t="str">
        <f t="shared" si="22"/>
        <v/>
      </c>
      <c r="F88" s="902" t="str">
        <f t="shared" si="23"/>
        <v/>
      </c>
      <c r="G88" s="902" t="str">
        <f t="shared" si="24"/>
        <v/>
      </c>
      <c r="H88" s="530" t="str">
        <f t="shared" si="25"/>
        <v/>
      </c>
      <c r="I88" s="250" t="str">
        <f t="shared" si="16"/>
        <v/>
      </c>
      <c r="J88" s="250" t="str">
        <f t="shared" si="17"/>
        <v/>
      </c>
      <c r="K88" s="250" t="str">
        <f t="shared" si="18"/>
        <v/>
      </c>
      <c r="L88" s="873" t="str">
        <f t="shared" si="19"/>
        <v/>
      </c>
      <c r="M88" s="109"/>
      <c r="Q88" s="854"/>
      <c r="S88" s="855"/>
      <c r="U88" s="23"/>
      <c r="V88" s="23"/>
      <c r="W88" s="23"/>
    </row>
    <row r="89" spans="1:23" ht="12.75" customHeight="1">
      <c r="A89" s="266"/>
      <c r="B89" s="445">
        <v>68</v>
      </c>
      <c r="C89" s="903" t="str">
        <f t="shared" si="20"/>
        <v/>
      </c>
      <c r="D89" s="902" t="str">
        <f t="shared" si="21"/>
        <v/>
      </c>
      <c r="E89" s="902" t="str">
        <f t="shared" si="22"/>
        <v/>
      </c>
      <c r="F89" s="902" t="str">
        <f t="shared" si="23"/>
        <v/>
      </c>
      <c r="G89" s="902" t="str">
        <f t="shared" si="24"/>
        <v/>
      </c>
      <c r="H89" s="530" t="str">
        <f t="shared" si="25"/>
        <v/>
      </c>
      <c r="I89" s="250" t="str">
        <f t="shared" si="16"/>
        <v/>
      </c>
      <c r="J89" s="250" t="str">
        <f t="shared" si="17"/>
        <v/>
      </c>
      <c r="K89" s="250" t="str">
        <f t="shared" si="18"/>
        <v/>
      </c>
      <c r="L89" s="873" t="str">
        <f t="shared" si="19"/>
        <v/>
      </c>
      <c r="M89" s="109"/>
      <c r="Q89" s="854"/>
      <c r="S89" s="855"/>
      <c r="U89" s="23"/>
      <c r="V89" s="23"/>
      <c r="W89" s="23"/>
    </row>
    <row r="90" spans="1:23" ht="12.75" customHeight="1">
      <c r="A90" s="266"/>
      <c r="B90" s="445">
        <v>69</v>
      </c>
      <c r="C90" s="903" t="str">
        <f t="shared" si="20"/>
        <v/>
      </c>
      <c r="D90" s="902" t="str">
        <f t="shared" si="21"/>
        <v/>
      </c>
      <c r="E90" s="902" t="str">
        <f t="shared" si="22"/>
        <v/>
      </c>
      <c r="F90" s="902" t="str">
        <f t="shared" si="23"/>
        <v/>
      </c>
      <c r="G90" s="902" t="str">
        <f t="shared" si="24"/>
        <v/>
      </c>
      <c r="H90" s="530" t="str">
        <f t="shared" si="25"/>
        <v/>
      </c>
      <c r="I90" s="250" t="str">
        <f t="shared" si="16"/>
        <v/>
      </c>
      <c r="J90" s="250" t="str">
        <f t="shared" si="17"/>
        <v/>
      </c>
      <c r="K90" s="250" t="str">
        <f t="shared" si="18"/>
        <v/>
      </c>
      <c r="L90" s="873" t="str">
        <f t="shared" si="19"/>
        <v/>
      </c>
      <c r="M90" s="109"/>
      <c r="Q90" s="854"/>
      <c r="S90" s="855"/>
      <c r="U90" s="23"/>
      <c r="V90" s="23"/>
      <c r="W90" s="23"/>
    </row>
    <row r="91" spans="1:23" ht="12.75" customHeight="1">
      <c r="A91" s="266"/>
      <c r="B91" s="445">
        <v>70</v>
      </c>
      <c r="C91" s="903" t="str">
        <f t="shared" si="20"/>
        <v/>
      </c>
      <c r="D91" s="902" t="str">
        <f t="shared" si="21"/>
        <v/>
      </c>
      <c r="E91" s="902" t="str">
        <f t="shared" si="22"/>
        <v/>
      </c>
      <c r="F91" s="902" t="str">
        <f t="shared" si="23"/>
        <v/>
      </c>
      <c r="G91" s="902" t="str">
        <f t="shared" si="24"/>
        <v/>
      </c>
      <c r="H91" s="530" t="str">
        <f t="shared" si="25"/>
        <v/>
      </c>
      <c r="I91" s="250" t="str">
        <f t="shared" si="16"/>
        <v/>
      </c>
      <c r="J91" s="250" t="str">
        <f t="shared" si="17"/>
        <v/>
      </c>
      <c r="K91" s="250" t="str">
        <f t="shared" si="18"/>
        <v/>
      </c>
      <c r="L91" s="873" t="str">
        <f t="shared" si="19"/>
        <v/>
      </c>
      <c r="M91" s="109"/>
      <c r="Q91" s="854"/>
      <c r="S91" s="855"/>
      <c r="U91" s="23"/>
      <c r="V91" s="23"/>
      <c r="W91" s="23"/>
    </row>
    <row r="92" spans="1:23" ht="12.75" customHeight="1">
      <c r="A92" s="266"/>
      <c r="B92" s="445">
        <v>71</v>
      </c>
      <c r="C92" s="903" t="str">
        <f t="shared" si="20"/>
        <v/>
      </c>
      <c r="D92" s="902" t="str">
        <f t="shared" si="21"/>
        <v/>
      </c>
      <c r="E92" s="902" t="str">
        <f t="shared" si="22"/>
        <v/>
      </c>
      <c r="F92" s="902" t="str">
        <f t="shared" si="23"/>
        <v/>
      </c>
      <c r="G92" s="902" t="str">
        <f t="shared" si="24"/>
        <v/>
      </c>
      <c r="H92" s="530" t="str">
        <f t="shared" si="25"/>
        <v/>
      </c>
      <c r="I92" s="250" t="str">
        <f t="shared" si="16"/>
        <v/>
      </c>
      <c r="J92" s="250" t="str">
        <f t="shared" si="17"/>
        <v/>
      </c>
      <c r="K92" s="250" t="str">
        <f t="shared" si="18"/>
        <v/>
      </c>
      <c r="L92" s="873" t="str">
        <f t="shared" si="19"/>
        <v/>
      </c>
      <c r="M92" s="109"/>
      <c r="Q92" s="854"/>
      <c r="S92" s="855"/>
      <c r="U92" s="23"/>
      <c r="V92" s="23"/>
      <c r="W92" s="23"/>
    </row>
    <row r="93" spans="1:23" ht="12.75" customHeight="1">
      <c r="A93" s="266"/>
      <c r="B93" s="445">
        <v>72</v>
      </c>
      <c r="C93" s="903" t="str">
        <f t="shared" si="20"/>
        <v/>
      </c>
      <c r="D93" s="902" t="str">
        <f t="shared" si="21"/>
        <v/>
      </c>
      <c r="E93" s="902" t="str">
        <f t="shared" si="22"/>
        <v/>
      </c>
      <c r="F93" s="902" t="str">
        <f t="shared" si="23"/>
        <v/>
      </c>
      <c r="G93" s="902" t="str">
        <f t="shared" si="24"/>
        <v/>
      </c>
      <c r="H93" s="530" t="str">
        <f t="shared" si="25"/>
        <v/>
      </c>
      <c r="I93" s="250" t="str">
        <f t="shared" si="16"/>
        <v/>
      </c>
      <c r="J93" s="250" t="str">
        <f t="shared" si="17"/>
        <v/>
      </c>
      <c r="K93" s="250" t="str">
        <f t="shared" si="18"/>
        <v/>
      </c>
      <c r="L93" s="873" t="str">
        <f t="shared" si="19"/>
        <v/>
      </c>
      <c r="M93" s="109"/>
      <c r="Q93" s="854"/>
      <c r="S93" s="855"/>
      <c r="U93" s="23"/>
      <c r="V93" s="23"/>
      <c r="W93" s="23"/>
    </row>
    <row r="94" spans="1:23" ht="12.75" customHeight="1">
      <c r="A94" s="266"/>
      <c r="B94" s="445">
        <v>73</v>
      </c>
      <c r="C94" s="903" t="str">
        <f t="shared" si="20"/>
        <v/>
      </c>
      <c r="D94" s="902" t="str">
        <f t="shared" si="21"/>
        <v/>
      </c>
      <c r="E94" s="902" t="str">
        <f t="shared" si="22"/>
        <v/>
      </c>
      <c r="F94" s="902" t="str">
        <f t="shared" si="23"/>
        <v/>
      </c>
      <c r="G94" s="902" t="str">
        <f t="shared" si="24"/>
        <v/>
      </c>
      <c r="H94" s="530" t="str">
        <f t="shared" si="25"/>
        <v/>
      </c>
      <c r="I94" s="250" t="str">
        <f t="shared" si="16"/>
        <v/>
      </c>
      <c r="J94" s="250" t="str">
        <f t="shared" si="17"/>
        <v/>
      </c>
      <c r="K94" s="250" t="str">
        <f t="shared" si="18"/>
        <v/>
      </c>
      <c r="L94" s="873" t="str">
        <f t="shared" si="19"/>
        <v/>
      </c>
      <c r="M94" s="109"/>
      <c r="Q94" s="854"/>
      <c r="S94" s="855"/>
      <c r="U94" s="23"/>
      <c r="V94" s="23"/>
      <c r="W94" s="23"/>
    </row>
    <row r="95" spans="1:23" ht="12.75" customHeight="1">
      <c r="A95" s="266"/>
      <c r="B95" s="445">
        <v>74</v>
      </c>
      <c r="C95" s="903" t="str">
        <f t="shared" si="20"/>
        <v/>
      </c>
      <c r="D95" s="902" t="str">
        <f t="shared" si="21"/>
        <v/>
      </c>
      <c r="E95" s="902" t="str">
        <f t="shared" si="22"/>
        <v/>
      </c>
      <c r="F95" s="902" t="str">
        <f t="shared" si="23"/>
        <v/>
      </c>
      <c r="G95" s="902" t="str">
        <f t="shared" si="24"/>
        <v/>
      </c>
      <c r="H95" s="530" t="str">
        <f t="shared" si="25"/>
        <v/>
      </c>
      <c r="I95" s="250" t="str">
        <f t="shared" si="16"/>
        <v/>
      </c>
      <c r="J95" s="250" t="str">
        <f t="shared" si="17"/>
        <v/>
      </c>
      <c r="K95" s="250" t="str">
        <f t="shared" si="18"/>
        <v/>
      </c>
      <c r="L95" s="873" t="str">
        <f t="shared" si="19"/>
        <v/>
      </c>
      <c r="M95" s="109"/>
      <c r="Q95" s="854"/>
      <c r="S95" s="855"/>
      <c r="U95" s="23"/>
      <c r="V95" s="23"/>
      <c r="W95" s="23"/>
    </row>
    <row r="96" spans="1:23" ht="12.75" customHeight="1">
      <c r="A96" s="266"/>
      <c r="B96" s="445">
        <v>75</v>
      </c>
      <c r="C96" s="903" t="str">
        <f t="shared" si="20"/>
        <v/>
      </c>
      <c r="D96" s="902" t="str">
        <f t="shared" si="21"/>
        <v/>
      </c>
      <c r="E96" s="902" t="str">
        <f t="shared" si="22"/>
        <v/>
      </c>
      <c r="F96" s="902" t="str">
        <f t="shared" si="23"/>
        <v/>
      </c>
      <c r="G96" s="902" t="str">
        <f t="shared" si="24"/>
        <v/>
      </c>
      <c r="H96" s="530" t="str">
        <f t="shared" si="25"/>
        <v/>
      </c>
      <c r="I96" s="250" t="str">
        <f t="shared" si="16"/>
        <v/>
      </c>
      <c r="J96" s="250" t="str">
        <f t="shared" si="17"/>
        <v/>
      </c>
      <c r="K96" s="250" t="str">
        <f t="shared" si="18"/>
        <v/>
      </c>
      <c r="L96" s="873" t="str">
        <f t="shared" si="19"/>
        <v/>
      </c>
      <c r="M96" s="109"/>
      <c r="Q96" s="854"/>
      <c r="S96" s="855"/>
      <c r="U96" s="23"/>
      <c r="V96" s="23"/>
      <c r="W96" s="23"/>
    </row>
    <row r="97" spans="1:23" ht="12.75" customHeight="1">
      <c r="A97" s="266"/>
      <c r="B97" s="445">
        <v>76</v>
      </c>
      <c r="C97" s="903" t="str">
        <f t="shared" si="20"/>
        <v/>
      </c>
      <c r="D97" s="902" t="str">
        <f t="shared" si="21"/>
        <v/>
      </c>
      <c r="E97" s="902" t="str">
        <f t="shared" si="22"/>
        <v/>
      </c>
      <c r="F97" s="902" t="str">
        <f t="shared" si="23"/>
        <v/>
      </c>
      <c r="G97" s="902" t="str">
        <f t="shared" si="24"/>
        <v/>
      </c>
      <c r="H97" s="530" t="str">
        <f t="shared" si="25"/>
        <v/>
      </c>
      <c r="I97" s="250" t="str">
        <f t="shared" si="16"/>
        <v/>
      </c>
      <c r="J97" s="250" t="str">
        <f t="shared" si="17"/>
        <v/>
      </c>
      <c r="K97" s="250" t="str">
        <f t="shared" si="18"/>
        <v/>
      </c>
      <c r="L97" s="873" t="str">
        <f t="shared" si="19"/>
        <v/>
      </c>
      <c r="M97" s="109"/>
      <c r="Q97" s="854"/>
      <c r="S97" s="855"/>
      <c r="U97" s="23"/>
      <c r="V97" s="23"/>
      <c r="W97" s="23"/>
    </row>
    <row r="98" spans="1:23" ht="12.75" customHeight="1">
      <c r="A98" s="266"/>
      <c r="B98" s="445">
        <v>77</v>
      </c>
      <c r="C98" s="903" t="str">
        <f t="shared" si="20"/>
        <v/>
      </c>
      <c r="D98" s="902" t="str">
        <f t="shared" si="21"/>
        <v/>
      </c>
      <c r="E98" s="902" t="str">
        <f t="shared" si="22"/>
        <v/>
      </c>
      <c r="F98" s="902" t="str">
        <f t="shared" si="23"/>
        <v/>
      </c>
      <c r="G98" s="902" t="str">
        <f t="shared" si="24"/>
        <v/>
      </c>
      <c r="H98" s="530" t="str">
        <f t="shared" si="25"/>
        <v/>
      </c>
      <c r="I98" s="250" t="str">
        <f t="shared" si="16"/>
        <v/>
      </c>
      <c r="J98" s="250" t="str">
        <f t="shared" si="17"/>
        <v/>
      </c>
      <c r="K98" s="250" t="str">
        <f t="shared" si="18"/>
        <v/>
      </c>
      <c r="L98" s="873" t="str">
        <f t="shared" si="19"/>
        <v/>
      </c>
      <c r="M98" s="109"/>
      <c r="Q98" s="854"/>
      <c r="S98" s="855"/>
      <c r="U98" s="23"/>
      <c r="V98" s="23"/>
      <c r="W98" s="23"/>
    </row>
    <row r="99" spans="1:23" ht="12.75" customHeight="1">
      <c r="A99" s="266"/>
      <c r="B99" s="445">
        <v>78</v>
      </c>
      <c r="C99" s="903" t="str">
        <f t="shared" si="20"/>
        <v/>
      </c>
      <c r="D99" s="902" t="str">
        <f t="shared" si="21"/>
        <v/>
      </c>
      <c r="E99" s="902" t="str">
        <f t="shared" si="22"/>
        <v/>
      </c>
      <c r="F99" s="902" t="str">
        <f t="shared" si="23"/>
        <v/>
      </c>
      <c r="G99" s="902" t="str">
        <f t="shared" si="24"/>
        <v/>
      </c>
      <c r="H99" s="530" t="str">
        <f t="shared" si="25"/>
        <v/>
      </c>
      <c r="I99" s="250" t="str">
        <f t="shared" si="16"/>
        <v/>
      </c>
      <c r="J99" s="250" t="str">
        <f t="shared" si="17"/>
        <v/>
      </c>
      <c r="K99" s="250" t="str">
        <f t="shared" si="18"/>
        <v/>
      </c>
      <c r="L99" s="873" t="str">
        <f t="shared" si="19"/>
        <v/>
      </c>
      <c r="M99" s="109"/>
      <c r="Q99" s="854"/>
      <c r="S99" s="855"/>
      <c r="U99" s="23"/>
      <c r="V99" s="23"/>
      <c r="W99" s="23"/>
    </row>
    <row r="100" spans="1:23" ht="12.75" customHeight="1">
      <c r="A100" s="266"/>
      <c r="B100" s="445">
        <v>79</v>
      </c>
      <c r="C100" s="903" t="str">
        <f t="shared" si="20"/>
        <v/>
      </c>
      <c r="D100" s="902" t="str">
        <f t="shared" si="21"/>
        <v/>
      </c>
      <c r="E100" s="902" t="str">
        <f t="shared" si="22"/>
        <v/>
      </c>
      <c r="F100" s="902" t="str">
        <f t="shared" si="23"/>
        <v/>
      </c>
      <c r="G100" s="902" t="str">
        <f t="shared" si="24"/>
        <v/>
      </c>
      <c r="H100" s="530" t="str">
        <f t="shared" si="25"/>
        <v/>
      </c>
      <c r="I100" s="250" t="str">
        <f t="shared" si="16"/>
        <v/>
      </c>
      <c r="J100" s="250" t="str">
        <f t="shared" si="17"/>
        <v/>
      </c>
      <c r="K100" s="250" t="str">
        <f t="shared" si="18"/>
        <v/>
      </c>
      <c r="L100" s="873" t="str">
        <f t="shared" si="19"/>
        <v/>
      </c>
      <c r="M100" s="109"/>
      <c r="Q100" s="854"/>
      <c r="S100" s="855"/>
      <c r="U100" s="23"/>
      <c r="V100" s="23"/>
      <c r="W100" s="23"/>
    </row>
    <row r="101" spans="1:23" ht="13">
      <c r="A101" s="266"/>
      <c r="B101" s="857">
        <v>80</v>
      </c>
      <c r="C101" s="990" t="str">
        <f t="shared" si="20"/>
        <v/>
      </c>
      <c r="D101" s="991" t="str">
        <f t="shared" si="21"/>
        <v/>
      </c>
      <c r="E101" s="991" t="str">
        <f t="shared" si="22"/>
        <v/>
      </c>
      <c r="F101" s="991" t="str">
        <f t="shared" si="23"/>
        <v/>
      </c>
      <c r="G101" s="991" t="str">
        <f t="shared" si="24"/>
        <v/>
      </c>
      <c r="H101" s="992" t="str">
        <f t="shared" si="25"/>
        <v/>
      </c>
      <c r="I101" s="993" t="str">
        <f t="shared" si="16"/>
        <v/>
      </c>
      <c r="J101" s="993" t="str">
        <f t="shared" si="17"/>
        <v/>
      </c>
      <c r="K101" s="993" t="str">
        <f t="shared" si="18"/>
        <v/>
      </c>
      <c r="L101" s="994" t="str">
        <f t="shared" si="19"/>
        <v/>
      </c>
      <c r="M101" s="109"/>
    </row>
    <row r="102" spans="1:23">
      <c r="A102" s="340"/>
      <c r="B102" s="343"/>
      <c r="C102" s="343"/>
      <c r="D102" s="343"/>
      <c r="E102" s="343"/>
      <c r="F102" s="343"/>
      <c r="G102" s="343"/>
      <c r="H102" s="343"/>
      <c r="I102" s="343"/>
      <c r="J102" s="343"/>
      <c r="K102" s="343"/>
      <c r="L102" s="343"/>
      <c r="M102" s="110"/>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8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1" customWidth="1"/>
    <col min="2" max="2" width="55.1796875" style="31" customWidth="1"/>
    <col min="3" max="3" width="8.81640625" style="31" customWidth="1"/>
    <col min="4" max="4" width="21.453125" style="31" customWidth="1"/>
    <col min="5" max="5" width="4.81640625" style="31" customWidth="1"/>
    <col min="6" max="6" width="18.81640625" style="31" customWidth="1"/>
    <col min="7" max="7" width="4.81640625" style="31" customWidth="1"/>
    <col min="8" max="8" width="18.81640625" style="31" customWidth="1"/>
    <col min="9" max="9" width="4.81640625" style="31" customWidth="1"/>
    <col min="10" max="10" width="18.81640625" style="31" customWidth="1"/>
    <col min="11" max="11" width="4.81640625" style="31" customWidth="1"/>
    <col min="12" max="12" width="18.81640625" style="31" customWidth="1"/>
    <col min="13" max="13" width="2" style="31" customWidth="1"/>
    <col min="14" max="16384" width="9.1796875" style="31"/>
  </cols>
  <sheetData>
    <row r="1" spans="1:13" ht="6" customHeight="1">
      <c r="A1" s="765"/>
      <c r="B1" s="766"/>
      <c r="C1" s="766"/>
      <c r="D1" s="766"/>
      <c r="E1" s="766"/>
      <c r="F1" s="766"/>
      <c r="G1" s="766"/>
      <c r="H1" s="766"/>
      <c r="I1" s="766"/>
      <c r="J1" s="766"/>
      <c r="K1" s="766"/>
      <c r="L1" s="766"/>
      <c r="M1" s="767"/>
    </row>
    <row r="2" spans="1:13" ht="18">
      <c r="A2" s="266"/>
      <c r="B2" s="267" t="str">
        <f>'Cover Sheet'!B2</f>
        <v>SC Germany Consumer 2023-1</v>
      </c>
      <c r="C2" s="267"/>
      <c r="D2" s="268" t="str">
        <f>'Cover Sheet'!D2</f>
        <v>Calculation Date</v>
      </c>
      <c r="E2" s="269"/>
      <c r="F2" s="270">
        <f>'Cover Sheet'!F2</f>
        <v>45973</v>
      </c>
      <c r="G2" s="269"/>
      <c r="H2" s="269"/>
      <c r="I2" s="269"/>
      <c r="J2" s="269"/>
      <c r="K2" s="269"/>
      <c r="L2" s="271"/>
      <c r="M2" s="273"/>
    </row>
    <row r="3" spans="1:13" ht="18">
      <c r="A3" s="266"/>
      <c r="B3" s="267" t="str">
        <f>'Cover Sheet'!B3</f>
        <v>Monthly Investor Report</v>
      </c>
      <c r="C3" s="267"/>
      <c r="D3" s="275" t="str">
        <f>'Cover Sheet'!D3</f>
        <v>Payment Date</v>
      </c>
      <c r="E3" s="276"/>
      <c r="F3" s="277">
        <f>'Cover Sheet'!F3</f>
        <v>45975</v>
      </c>
      <c r="G3" s="276"/>
      <c r="H3" s="276"/>
      <c r="I3" s="276"/>
      <c r="J3" s="276"/>
      <c r="K3" s="276"/>
      <c r="L3" s="278"/>
      <c r="M3" s="273"/>
    </row>
    <row r="4" spans="1:13">
      <c r="A4" s="266"/>
      <c r="B4" s="859"/>
      <c r="C4" s="127"/>
      <c r="D4" s="275" t="str">
        <f>'Cover Sheet'!D4</f>
        <v>Period  No</v>
      </c>
      <c r="E4" s="276"/>
      <c r="F4" s="281">
        <f>'Cover Sheet'!F4</f>
        <v>27</v>
      </c>
      <c r="G4" s="276"/>
      <c r="H4" s="282"/>
      <c r="I4" s="276"/>
      <c r="J4" s="287"/>
      <c r="K4" s="276"/>
      <c r="L4" s="283"/>
      <c r="M4" s="273"/>
    </row>
    <row r="5" spans="1:13" ht="18">
      <c r="A5" s="266"/>
      <c r="B5" s="353" t="s">
        <v>233</v>
      </c>
      <c r="C5" s="353"/>
      <c r="D5" s="275" t="str">
        <f>'Cover Sheet'!D5</f>
        <v>Monthly Period</v>
      </c>
      <c r="E5" s="276"/>
      <c r="F5" s="150">
        <f>'Cover Sheet'!F5</f>
        <v>45975</v>
      </c>
      <c r="G5" s="276"/>
      <c r="H5" s="282"/>
      <c r="I5" s="276"/>
      <c r="J5" s="287"/>
      <c r="K5" s="276"/>
      <c r="L5" s="283"/>
      <c r="M5" s="273"/>
    </row>
    <row r="6" spans="1:13" s="274" customFormat="1" ht="15" customHeight="1">
      <c r="A6" s="266"/>
      <c r="B6" s="285"/>
      <c r="C6" s="354"/>
      <c r="D6" s="275" t="str">
        <f>'Cover Sheet'!D6</f>
        <v>Interest Period</v>
      </c>
      <c r="E6" s="287" t="str">
        <f>'Cover Sheet'!E6</f>
        <v>from</v>
      </c>
      <c r="F6" s="277">
        <f>'Cover Sheet'!F6</f>
        <v>45944</v>
      </c>
      <c r="G6" s="287" t="str">
        <f>'Cover Sheet'!G6</f>
        <v>to</v>
      </c>
      <c r="H6" s="277">
        <f>'Cover Sheet'!H6</f>
        <v>45975</v>
      </c>
      <c r="I6" s="287" t="str">
        <f>'Cover Sheet'!I6</f>
        <v>=</v>
      </c>
      <c r="J6" s="828" t="str">
        <f>'Cover Sheet'!J6</f>
        <v>31 days</v>
      </c>
      <c r="K6" s="287"/>
      <c r="L6" s="396"/>
      <c r="M6" s="352"/>
    </row>
    <row r="7" spans="1:13">
      <c r="A7" s="266"/>
      <c r="D7" s="706" t="str">
        <f>'Cover Sheet'!D7</f>
        <v>Collection Period</v>
      </c>
      <c r="E7" s="707" t="str">
        <f>'Cover Sheet'!E7</f>
        <v>from</v>
      </c>
      <c r="F7" s="291" t="str">
        <f>'Cover Sheet'!F7</f>
        <v>01.10.2025</v>
      </c>
      <c r="G7" s="707" t="str">
        <f>'Cover Sheet'!G7</f>
        <v>to</v>
      </c>
      <c r="H7" s="291">
        <f>'Cover Sheet'!H7</f>
        <v>45961</v>
      </c>
      <c r="I7" s="292"/>
      <c r="J7" s="292"/>
      <c r="K7" s="292"/>
      <c r="L7" s="293"/>
      <c r="M7" s="273"/>
    </row>
    <row r="8" spans="1:13" ht="13">
      <c r="A8" s="266"/>
      <c r="D8" s="830"/>
      <c r="E8" s="294"/>
      <c r="F8" s="272"/>
      <c r="H8" s="295"/>
      <c r="J8" s="295"/>
      <c r="L8" s="279"/>
      <c r="M8" s="273"/>
    </row>
    <row r="9" spans="1:13">
      <c r="A9" s="266"/>
      <c r="D9" s="127"/>
      <c r="M9" s="273"/>
    </row>
    <row r="10" spans="1:13">
      <c r="A10" s="266"/>
      <c r="D10" s="127"/>
      <c r="M10" s="273"/>
    </row>
    <row r="11" spans="1:13" ht="18" customHeight="1">
      <c r="A11" s="266"/>
      <c r="D11" s="127"/>
      <c r="M11" s="273"/>
    </row>
    <row r="12" spans="1:13">
      <c r="A12" s="266"/>
      <c r="D12" s="127"/>
      <c r="M12" s="273"/>
    </row>
    <row r="13" spans="1:13" ht="18">
      <c r="A13" s="266"/>
      <c r="B13" s="267"/>
      <c r="D13" s="831"/>
      <c r="F13" s="267"/>
      <c r="H13" s="23"/>
      <c r="I13" s="23"/>
      <c r="J13" s="302"/>
      <c r="K13" s="23"/>
      <c r="L13" s="23"/>
      <c r="M13" s="273"/>
    </row>
    <row r="14" spans="1:13">
      <c r="A14" s="266"/>
      <c r="D14" s="832"/>
      <c r="H14" s="23"/>
      <c r="I14" s="23"/>
      <c r="J14" s="23"/>
      <c r="K14" s="23"/>
      <c r="L14" s="23"/>
      <c r="M14" s="273"/>
    </row>
    <row r="15" spans="1:13">
      <c r="A15" s="266"/>
      <c r="D15" s="832"/>
      <c r="H15" s="23"/>
      <c r="I15" s="23"/>
      <c r="J15" s="23"/>
      <c r="K15" s="23"/>
      <c r="L15" s="23"/>
      <c r="M15" s="273"/>
    </row>
    <row r="16" spans="1:13">
      <c r="A16" s="266"/>
      <c r="D16" s="833"/>
      <c r="H16" s="23"/>
      <c r="I16" s="23"/>
      <c r="J16" s="23"/>
      <c r="K16" s="23"/>
      <c r="L16" s="23"/>
      <c r="M16" s="273"/>
    </row>
    <row r="17" spans="1:13" ht="31.5" customHeight="1">
      <c r="A17" s="266"/>
      <c r="B17" s="267" t="s">
        <v>172</v>
      </c>
      <c r="D17" s="127"/>
      <c r="F17" s="817" t="s">
        <v>170</v>
      </c>
      <c r="G17" s="831"/>
      <c r="H17" s="835" t="s">
        <v>62</v>
      </c>
      <c r="I17" s="23"/>
      <c r="J17" s="835"/>
      <c r="K17" s="23"/>
      <c r="L17" s="835"/>
      <c r="M17" s="273"/>
    </row>
    <row r="18" spans="1:13" ht="13">
      <c r="A18" s="266"/>
      <c r="B18" s="860"/>
      <c r="D18" s="861"/>
      <c r="F18" s="844"/>
      <c r="G18" s="849"/>
      <c r="H18" s="23"/>
      <c r="I18" s="23"/>
      <c r="J18" s="23"/>
      <c r="K18" s="23"/>
      <c r="L18" s="23"/>
      <c r="M18" s="273"/>
    </row>
    <row r="19" spans="1:13" ht="13">
      <c r="A19" s="266"/>
      <c r="B19" s="862" t="s">
        <v>173</v>
      </c>
      <c r="D19" s="861"/>
      <c r="F19" s="844"/>
      <c r="G19" s="849"/>
      <c r="H19" s="23"/>
      <c r="I19" s="751"/>
      <c r="J19" s="812"/>
      <c r="K19" s="751"/>
      <c r="L19" s="812"/>
      <c r="M19" s="273"/>
    </row>
    <row r="20" spans="1:13" ht="13">
      <c r="A20" s="266"/>
      <c r="B20" s="23" t="s">
        <v>174</v>
      </c>
      <c r="D20" s="861"/>
      <c r="F20" s="832">
        <f>VLOOKUP("GrossDefault_current",calcdata,2,0)</f>
        <v>2428482.5600000001</v>
      </c>
      <c r="G20" s="849"/>
      <c r="H20" s="23"/>
      <c r="I20" s="751"/>
      <c r="J20" s="23"/>
      <c r="K20" s="751"/>
      <c r="L20" s="842"/>
      <c r="M20" s="273"/>
    </row>
    <row r="21" spans="1:13">
      <c r="A21" s="266"/>
      <c r="B21" s="23" t="s">
        <v>82</v>
      </c>
      <c r="D21" s="127"/>
      <c r="F21" s="832">
        <f>VLOOKUP("Recoveries_current",calcdata,2,0)</f>
        <v>50973.52</v>
      </c>
      <c r="H21" s="23"/>
      <c r="I21" s="23"/>
      <c r="J21" s="711"/>
      <c r="K21" s="23"/>
      <c r="L21" s="23"/>
      <c r="M21" s="273"/>
    </row>
    <row r="22" spans="1:13" ht="13">
      <c r="A22" s="266"/>
      <c r="B22" s="23" t="s">
        <v>175</v>
      </c>
      <c r="D22" s="863"/>
      <c r="E22" s="849"/>
      <c r="F22" s="832">
        <f>F20-F21</f>
        <v>2377509.04</v>
      </c>
      <c r="G22" s="849"/>
      <c r="H22" s="812"/>
      <c r="I22" s="23"/>
      <c r="J22" s="711"/>
      <c r="K22" s="23"/>
      <c r="L22" s="23"/>
      <c r="M22" s="273"/>
    </row>
    <row r="23" spans="1:13">
      <c r="A23" s="266"/>
      <c r="B23" s="23" t="s">
        <v>176</v>
      </c>
      <c r="D23" s="864"/>
      <c r="F23" s="865"/>
      <c r="H23" s="995">
        <f>VLOOKUP("default_new",Assets_Daten,3,0)</f>
        <v>125</v>
      </c>
      <c r="I23" s="23"/>
      <c r="J23" s="711"/>
      <c r="K23" s="23"/>
      <c r="L23" s="23"/>
      <c r="M23" s="273"/>
    </row>
    <row r="24" spans="1:13" ht="13">
      <c r="A24" s="266"/>
      <c r="B24" s="860"/>
      <c r="D24" s="864"/>
      <c r="F24" s="865"/>
      <c r="H24" s="866"/>
      <c r="I24" s="751"/>
      <c r="J24" s="812"/>
      <c r="K24" s="751"/>
      <c r="L24" s="812"/>
      <c r="M24" s="273"/>
    </row>
    <row r="25" spans="1:13" ht="13">
      <c r="A25" s="266"/>
      <c r="B25" s="862" t="s">
        <v>177</v>
      </c>
      <c r="D25" s="864"/>
      <c r="F25" s="865"/>
      <c r="H25" s="867"/>
      <c r="I25" s="751"/>
      <c r="J25" s="711"/>
      <c r="K25" s="751"/>
      <c r="L25" s="842"/>
      <c r="M25" s="273"/>
    </row>
    <row r="26" spans="1:13" ht="13">
      <c r="A26" s="266"/>
      <c r="B26" s="23" t="s">
        <v>178</v>
      </c>
      <c r="C26" s="849"/>
      <c r="D26" s="863"/>
      <c r="E26" s="849"/>
      <c r="F26" s="832">
        <f>VLOOKUP("Cum_GrossDefault",calcdata,2,0)</f>
        <v>47515646.829999998</v>
      </c>
      <c r="G26" s="849"/>
      <c r="H26" s="812"/>
      <c r="I26" s="23"/>
      <c r="J26" s="711"/>
      <c r="K26" s="23"/>
      <c r="L26" s="23"/>
      <c r="M26" s="273"/>
    </row>
    <row r="27" spans="1:13" ht="13">
      <c r="A27" s="266"/>
      <c r="B27" s="23" t="s">
        <v>83</v>
      </c>
      <c r="D27" s="864"/>
      <c r="F27" s="832">
        <f>VLOOKUP("Cum_Recoveries",calcdata,2,0)</f>
        <v>824939.77</v>
      </c>
      <c r="H27" s="817"/>
      <c r="I27" s="23"/>
      <c r="J27" s="711"/>
      <c r="K27" s="23"/>
      <c r="L27" s="23"/>
      <c r="M27" s="273"/>
    </row>
    <row r="28" spans="1:13">
      <c r="A28" s="266"/>
      <c r="B28" s="23" t="s">
        <v>440</v>
      </c>
      <c r="D28" s="864"/>
      <c r="F28" s="832">
        <f>F26-F27</f>
        <v>46690707.059999995</v>
      </c>
      <c r="H28" s="711"/>
      <c r="I28" s="23"/>
      <c r="J28" s="23"/>
      <c r="K28" s="23"/>
      <c r="L28" s="23"/>
      <c r="M28" s="273"/>
    </row>
    <row r="29" spans="1:13">
      <c r="A29" s="266"/>
      <c r="B29" s="23" t="s">
        <v>179</v>
      </c>
      <c r="D29" s="127"/>
      <c r="F29" s="127"/>
      <c r="H29" s="995">
        <f>VLOOKUP(F4-1,'3.3 Defaults &amp; Recoveries p.p.'!B:C,2,0)+H23</f>
        <v>2274</v>
      </c>
      <c r="I29" s="23"/>
      <c r="J29" s="1006"/>
      <c r="K29" s="23"/>
      <c r="L29" s="23"/>
      <c r="M29" s="273"/>
    </row>
    <row r="30" spans="1:13">
      <c r="A30" s="266"/>
      <c r="D30" s="127"/>
      <c r="F30" s="127"/>
      <c r="H30" s="23"/>
      <c r="I30" s="23"/>
      <c r="J30" s="711"/>
      <c r="K30" s="23"/>
      <c r="L30" s="23"/>
      <c r="M30" s="273"/>
    </row>
    <row r="31" spans="1:13">
      <c r="A31" s="266"/>
      <c r="D31" s="864"/>
      <c r="F31" s="127"/>
      <c r="H31" s="23"/>
      <c r="I31" s="23"/>
      <c r="J31" s="23"/>
      <c r="K31" s="23"/>
      <c r="L31" s="23"/>
      <c r="M31" s="273"/>
    </row>
    <row r="32" spans="1:13" ht="18">
      <c r="A32" s="266"/>
      <c r="B32" s="267" t="s">
        <v>234</v>
      </c>
      <c r="D32" s="864"/>
      <c r="F32" s="127"/>
      <c r="H32" s="23"/>
      <c r="I32" s="23"/>
      <c r="J32" s="812"/>
      <c r="K32" s="23"/>
      <c r="L32" s="813"/>
      <c r="M32" s="273"/>
    </row>
    <row r="33" spans="1:13">
      <c r="A33" s="266"/>
      <c r="D33" s="864"/>
      <c r="F33" s="127"/>
      <c r="H33" s="23"/>
      <c r="I33" s="23"/>
      <c r="J33" s="23"/>
      <c r="K33" s="23"/>
      <c r="L33" s="23"/>
      <c r="M33" s="273"/>
    </row>
    <row r="34" spans="1:13" ht="13">
      <c r="A34" s="266"/>
      <c r="B34" s="862" t="s">
        <v>235</v>
      </c>
      <c r="D34" s="864"/>
      <c r="H34" s="23"/>
      <c r="I34" s="23"/>
      <c r="J34" s="23"/>
      <c r="K34" s="23"/>
      <c r="L34" s="23"/>
      <c r="M34" s="273"/>
    </row>
    <row r="35" spans="1:13">
      <c r="A35" s="266"/>
      <c r="B35" s="31" t="s">
        <v>325</v>
      </c>
      <c r="D35" s="864"/>
      <c r="F35" s="904">
        <f>VLOOKUP("a_pdl_bop",calcdata,2,0)</f>
        <v>0</v>
      </c>
      <c r="H35" s="23"/>
      <c r="I35" s="23"/>
      <c r="J35" s="23"/>
      <c r="K35" s="23"/>
      <c r="L35" s="23"/>
      <c r="M35" s="273"/>
    </row>
    <row r="36" spans="1:13" ht="13">
      <c r="A36" s="266"/>
      <c r="B36" s="31" t="s">
        <v>326</v>
      </c>
      <c r="D36" s="864"/>
      <c r="F36" s="904">
        <f>VLOOKUP("a_debited_pdl",calcdata,2,0)</f>
        <v>0</v>
      </c>
      <c r="H36" s="23"/>
      <c r="I36" s="23"/>
      <c r="J36" s="812"/>
      <c r="K36" s="23"/>
      <c r="L36" s="812"/>
      <c r="M36" s="273"/>
    </row>
    <row r="37" spans="1:13" ht="13">
      <c r="A37" s="266"/>
      <c r="B37" s="31" t="s">
        <v>327</v>
      </c>
      <c r="D37" s="864"/>
      <c r="F37" s="904">
        <f>VLOOKUP("a_credited_pdl",calcdata,2,0)</f>
        <v>0</v>
      </c>
      <c r="H37" s="23"/>
      <c r="I37" s="23"/>
      <c r="J37" s="812"/>
      <c r="K37" s="23"/>
      <c r="L37" s="812"/>
      <c r="M37" s="273"/>
    </row>
    <row r="38" spans="1:13" ht="13">
      <c r="A38" s="266"/>
      <c r="B38" s="31" t="s">
        <v>328</v>
      </c>
      <c r="D38" s="864"/>
      <c r="F38" s="904">
        <f>VLOOKUP("a_pdl_eop",calcdata,2,0)</f>
        <v>0</v>
      </c>
      <c r="H38" s="23"/>
      <c r="I38" s="23"/>
      <c r="J38" s="817"/>
      <c r="K38" s="23"/>
      <c r="L38" s="817"/>
      <c r="M38" s="273"/>
    </row>
    <row r="39" spans="1:13" ht="13">
      <c r="A39" s="266"/>
      <c r="D39" s="864"/>
      <c r="F39" s="865"/>
      <c r="H39" s="23"/>
      <c r="I39" s="23"/>
      <c r="J39" s="818"/>
      <c r="K39" s="23"/>
      <c r="L39" s="711"/>
      <c r="M39" s="273"/>
    </row>
    <row r="40" spans="1:13" ht="13">
      <c r="A40" s="266"/>
      <c r="B40" s="862" t="s">
        <v>285</v>
      </c>
      <c r="D40" s="864"/>
      <c r="H40" s="23"/>
      <c r="I40" s="23"/>
      <c r="J40" s="23"/>
      <c r="K40" s="23"/>
      <c r="L40" s="23"/>
      <c r="M40" s="273"/>
    </row>
    <row r="41" spans="1:13">
      <c r="A41" s="266"/>
      <c r="B41" s="31" t="s">
        <v>329</v>
      </c>
      <c r="D41" s="864"/>
      <c r="F41" s="904">
        <f>VLOOKUP("b_pdl_bop",calcdata,2,0)</f>
        <v>0</v>
      </c>
      <c r="H41" s="23"/>
      <c r="I41" s="23"/>
      <c r="J41" s="23"/>
      <c r="K41" s="23"/>
      <c r="L41" s="23"/>
      <c r="M41" s="273"/>
    </row>
    <row r="42" spans="1:13" ht="13">
      <c r="A42" s="266"/>
      <c r="B42" s="31" t="s">
        <v>330</v>
      </c>
      <c r="D42" s="864"/>
      <c r="F42" s="904">
        <f>VLOOKUP("b_debited_pdl",calcdata,2,0)</f>
        <v>0</v>
      </c>
      <c r="H42" s="23"/>
      <c r="I42" s="23"/>
      <c r="J42" s="812"/>
      <c r="K42" s="23"/>
      <c r="L42" s="812"/>
      <c r="M42" s="273"/>
    </row>
    <row r="43" spans="1:13" ht="13">
      <c r="A43" s="266"/>
      <c r="B43" s="31" t="s">
        <v>331</v>
      </c>
      <c r="D43" s="864"/>
      <c r="F43" s="904">
        <f>VLOOKUP("b_credited_pdl",calcdata,2,0)</f>
        <v>0</v>
      </c>
      <c r="H43" s="23"/>
      <c r="I43" s="23"/>
      <c r="J43" s="817"/>
      <c r="K43" s="23"/>
      <c r="L43" s="817"/>
      <c r="M43" s="273"/>
    </row>
    <row r="44" spans="1:13" ht="13">
      <c r="A44" s="266"/>
      <c r="B44" s="31" t="s">
        <v>332</v>
      </c>
      <c r="D44" s="864"/>
      <c r="F44" s="904">
        <f>VLOOKUP("b_pdl_eop",calcdata,2,0)</f>
        <v>0</v>
      </c>
      <c r="H44" s="23"/>
      <c r="I44" s="23"/>
      <c r="J44" s="817"/>
      <c r="K44" s="23"/>
      <c r="L44" s="817"/>
      <c r="M44" s="273"/>
    </row>
    <row r="45" spans="1:13" ht="13">
      <c r="A45" s="266"/>
      <c r="D45" s="864"/>
      <c r="F45" s="865"/>
      <c r="H45" s="23"/>
      <c r="I45" s="23"/>
      <c r="J45" s="818"/>
      <c r="K45" s="23"/>
      <c r="L45" s="711"/>
      <c r="M45" s="273"/>
    </row>
    <row r="46" spans="1:13" ht="13">
      <c r="A46" s="266"/>
      <c r="B46" s="862" t="s">
        <v>286</v>
      </c>
      <c r="D46" s="864"/>
      <c r="H46" s="23"/>
      <c r="I46" s="23"/>
      <c r="J46" s="23"/>
      <c r="K46" s="23"/>
      <c r="L46" s="23"/>
      <c r="M46" s="273"/>
    </row>
    <row r="47" spans="1:13">
      <c r="A47" s="266"/>
      <c r="B47" s="31" t="s">
        <v>333</v>
      </c>
      <c r="D47" s="864"/>
      <c r="F47" s="904">
        <f>VLOOKUP("c_pdl_bop",calcdata,2,0)</f>
        <v>0</v>
      </c>
      <c r="H47" s="23"/>
      <c r="I47" s="23"/>
      <c r="J47" s="23"/>
      <c r="K47" s="23"/>
      <c r="L47" s="23"/>
      <c r="M47" s="273"/>
    </row>
    <row r="48" spans="1:13" ht="13">
      <c r="A48" s="266"/>
      <c r="B48" s="31" t="s">
        <v>334</v>
      </c>
      <c r="D48" s="864"/>
      <c r="F48" s="904">
        <f>VLOOKUP("c_debited_pdl",calcdata,2,0)</f>
        <v>0</v>
      </c>
      <c r="H48" s="23"/>
      <c r="I48" s="23"/>
      <c r="J48" s="812"/>
      <c r="K48" s="23"/>
      <c r="L48" s="812"/>
      <c r="M48" s="273"/>
    </row>
    <row r="49" spans="1:13" ht="13">
      <c r="A49" s="266"/>
      <c r="B49" s="31" t="s">
        <v>335</v>
      </c>
      <c r="D49" s="864"/>
      <c r="F49" s="904">
        <f>VLOOKUP("c_credited_pdl",calcdata,2,0)</f>
        <v>0</v>
      </c>
      <c r="H49" s="23"/>
      <c r="I49" s="23"/>
      <c r="J49" s="817"/>
      <c r="K49" s="23"/>
      <c r="L49" s="817"/>
      <c r="M49" s="273"/>
    </row>
    <row r="50" spans="1:13" ht="13">
      <c r="A50" s="266"/>
      <c r="B50" s="31" t="s">
        <v>336</v>
      </c>
      <c r="D50" s="864"/>
      <c r="F50" s="904">
        <f>VLOOKUP("c_pdl_eop",calcdata,2,0)</f>
        <v>0</v>
      </c>
      <c r="H50" s="23"/>
      <c r="I50" s="23"/>
      <c r="J50" s="817"/>
      <c r="K50" s="23"/>
      <c r="L50" s="817"/>
      <c r="M50" s="273"/>
    </row>
    <row r="51" spans="1:13" ht="13">
      <c r="A51" s="266"/>
      <c r="D51" s="864"/>
      <c r="F51" s="865"/>
      <c r="H51" s="23"/>
      <c r="I51" s="23"/>
      <c r="J51" s="818"/>
      <c r="K51" s="23"/>
      <c r="L51" s="711"/>
      <c r="M51" s="273"/>
    </row>
    <row r="52" spans="1:13" ht="13">
      <c r="A52" s="266"/>
      <c r="B52" s="862" t="s">
        <v>287</v>
      </c>
      <c r="D52" s="864"/>
      <c r="H52" s="23"/>
      <c r="I52" s="23"/>
      <c r="J52" s="23"/>
      <c r="K52" s="23"/>
      <c r="L52" s="23"/>
      <c r="M52" s="273"/>
    </row>
    <row r="53" spans="1:13">
      <c r="A53" s="266"/>
      <c r="B53" s="31" t="s">
        <v>337</v>
      </c>
      <c r="D53" s="864"/>
      <c r="F53" s="904">
        <f>VLOOKUP("d_pdl_bop",calcdata,2,0)</f>
        <v>0</v>
      </c>
      <c r="H53" s="23"/>
      <c r="I53" s="23"/>
      <c r="J53" s="23"/>
      <c r="K53" s="23"/>
      <c r="L53" s="23"/>
      <c r="M53" s="273"/>
    </row>
    <row r="54" spans="1:13" ht="13">
      <c r="A54" s="266"/>
      <c r="B54" s="31" t="s">
        <v>338</v>
      </c>
      <c r="D54" s="864"/>
      <c r="F54" s="904">
        <f>VLOOKUP("d_debited_pdl",calcdata,2,0)</f>
        <v>0</v>
      </c>
      <c r="H54" s="23"/>
      <c r="I54" s="23"/>
      <c r="J54" s="812"/>
      <c r="K54" s="23"/>
      <c r="L54" s="812"/>
      <c r="M54" s="273"/>
    </row>
    <row r="55" spans="1:13" ht="13">
      <c r="A55" s="266"/>
      <c r="B55" s="31" t="s">
        <v>339</v>
      </c>
      <c r="D55" s="864"/>
      <c r="F55" s="904">
        <f>VLOOKUP("d_credited_pdl",calcdata,2,0)</f>
        <v>0</v>
      </c>
      <c r="H55" s="23"/>
      <c r="I55" s="23"/>
      <c r="J55" s="817"/>
      <c r="K55" s="23"/>
      <c r="L55" s="817"/>
      <c r="M55" s="273"/>
    </row>
    <row r="56" spans="1:13" ht="13">
      <c r="A56" s="266"/>
      <c r="B56" s="31" t="s">
        <v>340</v>
      </c>
      <c r="D56" s="864"/>
      <c r="F56" s="904">
        <f>VLOOKUP("d_pdl_eop",calcdata,2,0)</f>
        <v>0</v>
      </c>
      <c r="H56" s="23"/>
      <c r="I56" s="23"/>
      <c r="J56" s="817"/>
      <c r="K56" s="23"/>
      <c r="L56" s="817"/>
      <c r="M56" s="273"/>
    </row>
    <row r="57" spans="1:13" ht="13">
      <c r="A57" s="266"/>
      <c r="D57" s="864"/>
      <c r="F57" s="865"/>
      <c r="H57" s="23"/>
      <c r="I57" s="23"/>
      <c r="J57" s="818"/>
      <c r="K57" s="23"/>
      <c r="L57" s="711"/>
      <c r="M57" s="273"/>
    </row>
    <row r="58" spans="1:13" ht="13">
      <c r="A58" s="266"/>
      <c r="B58" s="862" t="s">
        <v>288</v>
      </c>
      <c r="D58" s="864"/>
      <c r="H58" s="23"/>
      <c r="I58" s="23"/>
      <c r="J58" s="23"/>
      <c r="K58" s="23"/>
      <c r="L58" s="23"/>
      <c r="M58" s="273"/>
    </row>
    <row r="59" spans="1:13">
      <c r="A59" s="266"/>
      <c r="B59" s="31" t="s">
        <v>341</v>
      </c>
      <c r="D59" s="864"/>
      <c r="F59" s="904">
        <f>VLOOKUP("e_pdl_bop",calcdata,2,0)</f>
        <v>0</v>
      </c>
      <c r="H59" s="23"/>
      <c r="I59" s="23"/>
      <c r="J59" s="23"/>
      <c r="K59" s="23"/>
      <c r="L59" s="23"/>
      <c r="M59" s="273"/>
    </row>
    <row r="60" spans="1:13" ht="13">
      <c r="A60" s="266"/>
      <c r="B60" s="31" t="s">
        <v>342</v>
      </c>
      <c r="D60" s="864"/>
      <c r="F60" s="904">
        <f>VLOOKUP("e_debited_pdl",calcdata,2,0)</f>
        <v>0</v>
      </c>
      <c r="H60" s="23"/>
      <c r="I60" s="23"/>
      <c r="J60" s="812"/>
      <c r="K60" s="23"/>
      <c r="L60" s="812"/>
      <c r="M60" s="273"/>
    </row>
    <row r="61" spans="1:13" ht="13">
      <c r="A61" s="266"/>
      <c r="B61" s="31" t="s">
        <v>343</v>
      </c>
      <c r="D61" s="864"/>
      <c r="F61" s="904">
        <f>VLOOKUP("e_credited_pdl",calcdata,2,0)</f>
        <v>0</v>
      </c>
      <c r="H61" s="23"/>
      <c r="I61" s="23"/>
      <c r="J61" s="817"/>
      <c r="K61" s="23"/>
      <c r="L61" s="817"/>
      <c r="M61" s="273"/>
    </row>
    <row r="62" spans="1:13" ht="13">
      <c r="A62" s="266"/>
      <c r="B62" s="31" t="s">
        <v>344</v>
      </c>
      <c r="D62" s="864"/>
      <c r="F62" s="904">
        <f>VLOOKUP("e_pdl_eop",calcdata,2,0)</f>
        <v>0</v>
      </c>
      <c r="H62" s="23"/>
      <c r="I62" s="23"/>
      <c r="J62" s="817"/>
      <c r="K62" s="23"/>
      <c r="L62" s="817"/>
      <c r="M62" s="273"/>
    </row>
    <row r="63" spans="1:13" ht="13">
      <c r="A63" s="266"/>
      <c r="D63" s="864"/>
      <c r="F63" s="865"/>
      <c r="H63" s="23"/>
      <c r="I63" s="23"/>
      <c r="J63" s="818"/>
      <c r="K63" s="23"/>
      <c r="L63" s="711"/>
      <c r="M63" s="273"/>
    </row>
    <row r="64" spans="1:13" ht="13">
      <c r="A64" s="266"/>
      <c r="B64" s="862" t="s">
        <v>289</v>
      </c>
      <c r="D64" s="864"/>
      <c r="H64" s="23"/>
      <c r="I64" s="23"/>
      <c r="J64" s="23"/>
      <c r="K64" s="23"/>
      <c r="L64" s="23"/>
      <c r="M64" s="273"/>
    </row>
    <row r="65" spans="1:13">
      <c r="A65" s="266"/>
      <c r="B65" s="31" t="s">
        <v>345</v>
      </c>
      <c r="D65" s="864"/>
      <c r="F65" s="904">
        <f>VLOOKUP("f_pdl_bop",calcdata,2,0)</f>
        <v>0</v>
      </c>
      <c r="H65" s="23"/>
      <c r="I65" s="23"/>
      <c r="J65" s="23"/>
      <c r="K65" s="23"/>
      <c r="L65" s="23"/>
      <c r="M65" s="273"/>
    </row>
    <row r="66" spans="1:13" ht="13">
      <c r="A66" s="266"/>
      <c r="B66" s="31" t="s">
        <v>346</v>
      </c>
      <c r="D66" s="864"/>
      <c r="F66" s="904">
        <f>VLOOKUP("f_debited_pdl",calcdata,2,0)</f>
        <v>0</v>
      </c>
      <c r="H66" s="23"/>
      <c r="I66" s="23"/>
      <c r="J66" s="812"/>
      <c r="K66" s="23"/>
      <c r="L66" s="812"/>
      <c r="M66" s="273"/>
    </row>
    <row r="67" spans="1:13" ht="13">
      <c r="A67" s="266"/>
      <c r="B67" s="31" t="s">
        <v>347</v>
      </c>
      <c r="D67" s="864"/>
      <c r="F67" s="904">
        <f>VLOOKUP("f_credited_pdl",calcdata,2,0)</f>
        <v>0</v>
      </c>
      <c r="H67" s="23"/>
      <c r="I67" s="23"/>
      <c r="J67" s="817"/>
      <c r="K67" s="23"/>
      <c r="L67" s="817"/>
      <c r="M67" s="273"/>
    </row>
    <row r="68" spans="1:13" ht="13">
      <c r="A68" s="266"/>
      <c r="B68" s="31" t="s">
        <v>348</v>
      </c>
      <c r="D68" s="864"/>
      <c r="F68" s="904">
        <f>VLOOKUP("f_pdl_eop",calcdata,2,0)</f>
        <v>0</v>
      </c>
      <c r="H68" s="23"/>
      <c r="I68" s="23"/>
      <c r="J68" s="817"/>
      <c r="K68" s="23"/>
      <c r="L68" s="817"/>
      <c r="M68" s="273"/>
    </row>
    <row r="69" spans="1:13" ht="13">
      <c r="A69" s="266"/>
      <c r="D69" s="864"/>
      <c r="F69" s="865"/>
      <c r="H69" s="23"/>
      <c r="I69" s="23"/>
      <c r="J69" s="818"/>
      <c r="K69" s="23"/>
      <c r="L69" s="711"/>
      <c r="M69" s="273"/>
    </row>
    <row r="70" spans="1:13" ht="13">
      <c r="A70" s="266"/>
      <c r="B70" s="862" t="s">
        <v>764</v>
      </c>
      <c r="D70" s="864"/>
      <c r="F70" s="23"/>
      <c r="H70" s="23"/>
      <c r="I70" s="23"/>
      <c r="J70" s="818"/>
      <c r="K70" s="23"/>
      <c r="L70" s="711"/>
      <c r="M70" s="273"/>
    </row>
    <row r="71" spans="1:13" ht="13">
      <c r="A71" s="266"/>
      <c r="B71" s="31" t="s">
        <v>765</v>
      </c>
      <c r="D71" s="864"/>
      <c r="F71" s="945">
        <f>VLOOKUP("OC_pdl_bop",calcdata,2,0)</f>
        <v>3908886.27</v>
      </c>
      <c r="H71" s="23"/>
      <c r="I71" s="23"/>
      <c r="J71" s="818"/>
      <c r="K71" s="23"/>
      <c r="L71" s="711"/>
      <c r="M71" s="273"/>
    </row>
    <row r="72" spans="1:13" ht="13">
      <c r="A72" s="266"/>
      <c r="B72" s="31" t="s">
        <v>766</v>
      </c>
      <c r="D72" s="864"/>
      <c r="F72" s="945">
        <f>VLOOKUP("OC_debited_pdl",calcdata,2,0)</f>
        <v>2428482.5600000001</v>
      </c>
      <c r="H72" s="23"/>
      <c r="I72" s="23"/>
      <c r="J72" s="818"/>
      <c r="K72" s="23"/>
      <c r="L72" s="711"/>
      <c r="M72" s="273"/>
    </row>
    <row r="73" spans="1:13" ht="13">
      <c r="A73" s="266"/>
      <c r="B73" s="31" t="s">
        <v>767</v>
      </c>
      <c r="D73" s="864"/>
      <c r="F73" s="945">
        <f>VLOOKUP("OC_credited_pdl",calcdata,2,0)</f>
        <v>1272532.6499999999</v>
      </c>
      <c r="H73" s="23"/>
      <c r="I73" s="23"/>
      <c r="J73" s="818"/>
      <c r="K73" s="23"/>
      <c r="L73" s="711"/>
      <c r="M73" s="273"/>
    </row>
    <row r="74" spans="1:13" ht="13">
      <c r="A74" s="266"/>
      <c r="B74" s="31" t="s">
        <v>768</v>
      </c>
      <c r="D74" s="864"/>
      <c r="F74" s="945">
        <f>VLOOKUP("OC_pdl_eop",calcdata,2,0)</f>
        <v>5064836.18</v>
      </c>
      <c r="H74" s="23"/>
      <c r="I74" s="23"/>
      <c r="J74" s="818"/>
      <c r="K74" s="23"/>
      <c r="L74" s="711"/>
      <c r="M74" s="273"/>
    </row>
    <row r="75" spans="1:13" ht="12.75" customHeight="1">
      <c r="A75" s="266"/>
      <c r="D75" s="868"/>
      <c r="F75" s="127"/>
      <c r="H75" s="23"/>
      <c r="I75" s="23"/>
      <c r="J75" s="23"/>
      <c r="K75" s="23"/>
      <c r="L75" s="23"/>
      <c r="M75" s="273"/>
    </row>
    <row r="76" spans="1:13">
      <c r="A76" s="340"/>
      <c r="B76" s="343"/>
      <c r="C76" s="343"/>
      <c r="D76" s="869"/>
      <c r="E76" s="343"/>
      <c r="F76" s="343"/>
      <c r="G76" s="343"/>
      <c r="H76" s="38"/>
      <c r="I76" s="38"/>
      <c r="J76" s="38"/>
      <c r="K76" s="38"/>
      <c r="L76" s="38"/>
      <c r="M76" s="344"/>
    </row>
    <row r="78" spans="1:13">
      <c r="H78" s="297"/>
    </row>
    <row r="79" spans="1:13">
      <c r="H79" s="297"/>
    </row>
    <row r="81" spans="2:8">
      <c r="C81" s="826"/>
      <c r="D81" s="827"/>
      <c r="F81" s="827"/>
      <c r="H81" s="297"/>
    </row>
    <row r="82" spans="2:8">
      <c r="C82" s="826"/>
      <c r="D82" s="827"/>
      <c r="F82" s="827"/>
    </row>
    <row r="84" spans="2:8">
      <c r="C84" s="826"/>
      <c r="D84" s="826"/>
      <c r="E84" s="826"/>
      <c r="F84" s="826"/>
    </row>
    <row r="86" spans="2:8">
      <c r="B86" s="23"/>
    </row>
    <row r="87" spans="2:8">
      <c r="B87" s="23"/>
    </row>
    <row r="88" spans="2:8">
      <c r="B88" s="23"/>
    </row>
  </sheetData>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L17" sqref="L17"/>
    </sheetView>
  </sheetViews>
  <sheetFormatPr baseColWidth="10" defaultColWidth="9.1796875" defaultRowHeight="12.5"/>
  <cols>
    <col min="1" max="1" width="1.1796875" style="31" customWidth="1"/>
    <col min="2" max="2" width="43.81640625" style="31" customWidth="1"/>
    <col min="3" max="3" width="15.81640625" style="31" customWidth="1"/>
    <col min="4" max="4" width="20.81640625" style="31" customWidth="1"/>
    <col min="5" max="5" width="15.54296875" style="31" customWidth="1"/>
    <col min="6" max="6" width="20.81640625" style="31" customWidth="1"/>
    <col min="7" max="7" width="14.453125" style="31" customWidth="1"/>
    <col min="8" max="10" width="15.54296875" style="31" customWidth="1"/>
    <col min="11" max="12" width="14.453125" style="31" customWidth="1"/>
    <col min="13" max="13" width="2" style="23" customWidth="1"/>
    <col min="14" max="16384" width="9.1796875" style="31"/>
  </cols>
  <sheetData>
    <row r="1" spans="1:13" ht="6" customHeight="1">
      <c r="A1" s="765"/>
      <c r="B1" s="766"/>
      <c r="C1" s="766"/>
      <c r="D1" s="766"/>
      <c r="E1" s="766"/>
      <c r="F1" s="766"/>
      <c r="G1" s="766"/>
      <c r="H1" s="766"/>
      <c r="I1" s="766"/>
      <c r="J1" s="766"/>
      <c r="K1" s="766"/>
      <c r="L1" s="1011"/>
      <c r="M1" s="264"/>
    </row>
    <row r="2" spans="1:13" ht="18">
      <c r="A2" s="266"/>
      <c r="B2" s="267" t="str">
        <f>'Cover Sheet'!B2</f>
        <v>SC Germany Consumer 2023-1</v>
      </c>
      <c r="C2" s="267"/>
      <c r="D2" s="268" t="str">
        <f>'Cover Sheet'!D2</f>
        <v>Calculation Date</v>
      </c>
      <c r="E2" s="269"/>
      <c r="F2" s="270">
        <f>'Cover Sheet'!F2</f>
        <v>45973</v>
      </c>
      <c r="G2" s="269"/>
      <c r="H2" s="269"/>
      <c r="I2" s="269"/>
      <c r="J2" s="269"/>
      <c r="K2" s="269"/>
      <c r="L2" s="271"/>
      <c r="M2" s="109"/>
    </row>
    <row r="3" spans="1:13" ht="18">
      <c r="A3" s="266"/>
      <c r="B3" s="267" t="str">
        <f>'Cover Sheet'!B3</f>
        <v>Monthly Investor Report</v>
      </c>
      <c r="C3" s="267"/>
      <c r="D3" s="275" t="str">
        <f>'Cover Sheet'!D3</f>
        <v>Payment Date</v>
      </c>
      <c r="E3" s="276"/>
      <c r="F3" s="277">
        <f>'Cover Sheet'!F3</f>
        <v>45975</v>
      </c>
      <c r="G3" s="276"/>
      <c r="H3" s="276"/>
      <c r="I3" s="276"/>
      <c r="J3" s="276"/>
      <c r="K3" s="276"/>
      <c r="L3" s="278"/>
      <c r="M3" s="109"/>
    </row>
    <row r="4" spans="1:13">
      <c r="A4" s="266"/>
      <c r="B4" s="859"/>
      <c r="C4" s="127"/>
      <c r="D4" s="275" t="str">
        <f>'Cover Sheet'!D4</f>
        <v>Period  No</v>
      </c>
      <c r="E4" s="276"/>
      <c r="F4" s="281">
        <f>'Cover Sheet'!F4</f>
        <v>27</v>
      </c>
      <c r="G4" s="276"/>
      <c r="H4" s="282"/>
      <c r="I4" s="276"/>
      <c r="J4" s="287"/>
      <c r="K4" s="276"/>
      <c r="L4" s="283"/>
      <c r="M4" s="109"/>
    </row>
    <row r="5" spans="1:13" ht="18">
      <c r="A5" s="266"/>
      <c r="B5" s="353" t="s">
        <v>361</v>
      </c>
      <c r="C5" s="353"/>
      <c r="D5" s="275" t="str">
        <f>'Cover Sheet'!D5</f>
        <v>Monthly Period</v>
      </c>
      <c r="E5" s="276"/>
      <c r="F5" s="150">
        <f>'Cover Sheet'!F5</f>
        <v>45975</v>
      </c>
      <c r="G5" s="276"/>
      <c r="H5" s="282"/>
      <c r="I5" s="276"/>
      <c r="J5" s="287"/>
      <c r="K5" s="276"/>
      <c r="L5" s="283"/>
      <c r="M5" s="109"/>
    </row>
    <row r="6" spans="1:13" s="274" customFormat="1" ht="15" customHeight="1">
      <c r="A6" s="266"/>
      <c r="B6" s="285"/>
      <c r="C6" s="354"/>
      <c r="D6" s="275" t="str">
        <f>'Cover Sheet'!D6</f>
        <v>Interest Period</v>
      </c>
      <c r="E6" s="287" t="str">
        <f>'Cover Sheet'!E6</f>
        <v>from</v>
      </c>
      <c r="F6" s="277">
        <f>'Cover Sheet'!F6</f>
        <v>45944</v>
      </c>
      <c r="G6" s="287" t="str">
        <f>'Cover Sheet'!G6</f>
        <v>to</v>
      </c>
      <c r="H6" s="277">
        <f>'Cover Sheet'!H6</f>
        <v>45975</v>
      </c>
      <c r="I6" s="287" t="str">
        <f>'Cover Sheet'!I6</f>
        <v>=</v>
      </c>
      <c r="J6" s="828" t="str">
        <f>'Cover Sheet'!J6</f>
        <v>31 days</v>
      </c>
      <c r="K6" s="287"/>
      <c r="L6" s="396"/>
      <c r="M6" s="829"/>
    </row>
    <row r="7" spans="1:13">
      <c r="A7" s="266"/>
      <c r="D7" s="706" t="str">
        <f>'Cover Sheet'!D7</f>
        <v>Collection Period</v>
      </c>
      <c r="E7" s="707" t="str">
        <f>'Cover Sheet'!E7</f>
        <v>from</v>
      </c>
      <c r="F7" s="291" t="str">
        <f>'Cover Sheet'!F7</f>
        <v>01.10.2025</v>
      </c>
      <c r="G7" s="707" t="str">
        <f>'Cover Sheet'!G7</f>
        <v>to</v>
      </c>
      <c r="H7" s="291">
        <f>'Cover Sheet'!H7</f>
        <v>45961</v>
      </c>
      <c r="I7" s="292"/>
      <c r="J7" s="292"/>
      <c r="K7" s="292"/>
      <c r="L7" s="293"/>
      <c r="M7" s="109"/>
    </row>
    <row r="8" spans="1:13" ht="13">
      <c r="A8" s="266"/>
      <c r="D8" s="830"/>
      <c r="E8" s="294"/>
      <c r="F8" s="272"/>
      <c r="H8" s="295"/>
      <c r="J8" s="295"/>
      <c r="L8" s="1009"/>
      <c r="M8" s="109"/>
    </row>
    <row r="9" spans="1:13">
      <c r="A9" s="266"/>
      <c r="D9" s="127"/>
      <c r="M9" s="109"/>
    </row>
    <row r="10" spans="1:13">
      <c r="A10" s="266"/>
      <c r="D10" s="127"/>
      <c r="M10" s="109"/>
    </row>
    <row r="11" spans="1:13" ht="18" customHeight="1">
      <c r="A11" s="266"/>
      <c r="D11" s="127"/>
      <c r="M11" s="109"/>
    </row>
    <row r="12" spans="1:13">
      <c r="A12" s="266"/>
      <c r="D12" s="127"/>
      <c r="M12" s="109"/>
    </row>
    <row r="13" spans="1:13" ht="18">
      <c r="A13" s="266"/>
      <c r="B13" s="267"/>
      <c r="D13" s="831"/>
      <c r="F13" s="267"/>
      <c r="L13" s="1010"/>
      <c r="M13" s="109"/>
    </row>
    <row r="14" spans="1:13">
      <c r="A14" s="266"/>
      <c r="D14" s="832"/>
      <c r="H14" s="23"/>
      <c r="I14" s="23"/>
      <c r="J14" s="23"/>
      <c r="L14" s="23"/>
      <c r="M14" s="109"/>
    </row>
    <row r="15" spans="1:13">
      <c r="A15" s="266"/>
      <c r="D15" s="832"/>
      <c r="H15" s="23"/>
      <c r="I15" s="23"/>
      <c r="J15" s="23"/>
      <c r="K15" s="23"/>
      <c r="L15" s="23"/>
      <c r="M15" s="109"/>
    </row>
    <row r="16" spans="1:13" ht="13" thickBot="1">
      <c r="A16" s="266"/>
      <c r="D16" s="833"/>
      <c r="H16" s="23"/>
      <c r="I16" s="23"/>
      <c r="J16" s="23"/>
      <c r="K16" s="23"/>
      <c r="L16" s="1008"/>
      <c r="M16" s="109"/>
    </row>
    <row r="17" spans="1:23" ht="18.5" thickBot="1">
      <c r="A17" s="266"/>
      <c r="B17" s="302" t="s">
        <v>356</v>
      </c>
      <c r="C17" s="834"/>
      <c r="D17" s="835"/>
      <c r="E17" s="835"/>
      <c r="F17" s="817"/>
      <c r="G17" s="817"/>
      <c r="H17" s="23"/>
      <c r="I17" s="1037" t="s">
        <v>448</v>
      </c>
      <c r="J17" s="1038"/>
      <c r="K17" s="1039"/>
      <c r="L17" s="1003">
        <f>IF(AND($F$4&gt;12,$F$4&lt;37),AVERAGE(VLOOKUP($F$4,$B$21:$L$100,11,FALSE),VLOOKUP(($F$4)-1,$B$21:$L$100,11,FALSE),VLOOKUP(($F$4)-2,$B$21:$L$100,11,FALSE)),"n/a")</f>
        <v>4.6849518840588042E-3</v>
      </c>
      <c r="M17" s="109"/>
    </row>
    <row r="18" spans="1:23" ht="18">
      <c r="A18" s="266"/>
      <c r="B18" s="267"/>
      <c r="C18" s="834"/>
      <c r="D18" s="834"/>
      <c r="E18" s="834"/>
      <c r="F18" s="831"/>
      <c r="G18" s="831"/>
      <c r="H18" s="834"/>
      <c r="J18" s="835"/>
      <c r="K18" s="23"/>
      <c r="L18" s="1007"/>
      <c r="M18" s="109"/>
    </row>
    <row r="19" spans="1:23" ht="13.5" thickBot="1">
      <c r="A19" s="266"/>
      <c r="B19" s="1013"/>
      <c r="G19" s="831"/>
      <c r="H19" s="834"/>
      <c r="J19" s="835"/>
      <c r="K19" s="23"/>
      <c r="L19" s="1008"/>
      <c r="M19" s="109"/>
    </row>
    <row r="20" spans="1:23" ht="44" thickBot="1">
      <c r="A20" s="266"/>
      <c r="B20" s="836" t="s">
        <v>111</v>
      </c>
      <c r="C20" s="836" t="s">
        <v>324</v>
      </c>
      <c r="D20" s="836" t="s">
        <v>351</v>
      </c>
      <c r="E20" s="836" t="s">
        <v>349</v>
      </c>
      <c r="F20" s="836" t="s">
        <v>350</v>
      </c>
      <c r="G20" s="836" t="s">
        <v>355</v>
      </c>
      <c r="H20" s="836" t="s">
        <v>352</v>
      </c>
      <c r="I20" s="836" t="s">
        <v>353</v>
      </c>
      <c r="J20" s="836" t="s">
        <v>354</v>
      </c>
      <c r="K20" s="836" t="s">
        <v>439</v>
      </c>
      <c r="L20" s="837" t="s">
        <v>445</v>
      </c>
      <c r="M20" s="838"/>
      <c r="O20" s="839"/>
      <c r="P20" s="23"/>
      <c r="Q20" s="840"/>
      <c r="R20" s="841"/>
      <c r="S20" s="841"/>
      <c r="T20" s="23"/>
      <c r="U20" s="23"/>
      <c r="V20" s="751"/>
      <c r="W20" s="842"/>
    </row>
    <row r="21" spans="1:23">
      <c r="A21" s="266"/>
      <c r="B21" s="445">
        <v>1</v>
      </c>
      <c r="C21" s="843">
        <f t="shared" ref="C21:C52" si="0">IF($F$4&gt;=B21,VLOOKUP(CONCATENATE("defaults_",$B21),defaults,2,0),"")</f>
        <v>0</v>
      </c>
      <c r="D21" s="916">
        <f t="shared" ref="D21:D52" si="1">IF($F$4&gt;=B21,VLOOKUP(CONCATENATE("defaults_",$B21),defaults,3,0),"")</f>
        <v>0</v>
      </c>
      <c r="E21" s="916">
        <f t="shared" ref="E21:E52" si="2">IF($F$4&gt;=B21,VLOOKUP(CONCATENATE("defaults_",$B21),defaults,4,0),"")</f>
        <v>0</v>
      </c>
      <c r="F21" s="916">
        <f t="shared" ref="F21:F29" si="3">VLOOKUP(CONCATENATE("defaults_",$B21),defaults,5,0)</f>
        <v>822656474.24000001</v>
      </c>
      <c r="G21" s="917">
        <f t="shared" ref="G21:G30" si="4">VLOOKUP(CONCATENATE("defaults_",$B21),defaults,6,0)</f>
        <v>0</v>
      </c>
      <c r="H21" s="918">
        <f t="shared" ref="H21:H28" si="5">VLOOKUP(CONCATENATE("defaults_",$B21),defaults,7,0)</f>
        <v>0</v>
      </c>
      <c r="I21" s="919">
        <f t="shared" ref="I21:I28" si="6">VLOOKUP(CONCATENATE("defaults_",$B21),defaults,8,0)</f>
        <v>0</v>
      </c>
      <c r="J21" s="918">
        <f t="shared" ref="J21:J28" si="7">VLOOKUP(CONCATENATE("defaults_",$B21),defaults,9,0)</f>
        <v>0</v>
      </c>
      <c r="K21" s="917">
        <f t="shared" ref="K21:K28" si="8">VLOOKUP(CONCATENATE("defaults_",$B21),defaults,10,0)</f>
        <v>0</v>
      </c>
      <c r="L21" s="958" t="s">
        <v>231</v>
      </c>
      <c r="M21" s="109"/>
      <c r="N21" s="23"/>
      <c r="O21" s="23"/>
      <c r="P21" s="23"/>
      <c r="Q21" s="840"/>
      <c r="R21" s="841"/>
      <c r="S21" s="840"/>
      <c r="T21" s="23"/>
      <c r="U21" s="711"/>
      <c r="V21" s="23"/>
      <c r="W21" s="23"/>
    </row>
    <row r="22" spans="1:23">
      <c r="A22" s="266"/>
      <c r="B22" s="445">
        <v>2</v>
      </c>
      <c r="C22" s="843">
        <f t="shared" si="0"/>
        <v>0</v>
      </c>
      <c r="D22" s="916">
        <f t="shared" si="1"/>
        <v>0</v>
      </c>
      <c r="E22" s="916">
        <f t="shared" si="2"/>
        <v>0</v>
      </c>
      <c r="F22" s="916">
        <f t="shared" si="3"/>
        <v>842725089.55999994</v>
      </c>
      <c r="G22" s="917">
        <f t="shared" si="4"/>
        <v>0</v>
      </c>
      <c r="H22" s="918">
        <f t="shared" si="5"/>
        <v>0</v>
      </c>
      <c r="I22" s="919">
        <f t="shared" si="6"/>
        <v>0</v>
      </c>
      <c r="J22" s="918">
        <f t="shared" si="7"/>
        <v>0</v>
      </c>
      <c r="K22" s="917">
        <f t="shared" si="8"/>
        <v>0</v>
      </c>
      <c r="L22" s="845">
        <f>IF($B22&lt;=$F$4,($D22-$H22)/'3.1 Delinquency Data'!C22,"")</f>
        <v>0</v>
      </c>
      <c r="M22" s="109"/>
      <c r="N22" s="23"/>
      <c r="O22" s="846"/>
      <c r="P22" s="23"/>
      <c r="Q22" s="840"/>
      <c r="R22" s="841"/>
      <c r="S22" s="841"/>
      <c r="T22" s="23"/>
      <c r="U22" s="23"/>
      <c r="V22" s="23"/>
      <c r="W22" s="23"/>
    </row>
    <row r="23" spans="1:23" ht="13">
      <c r="A23" s="266"/>
      <c r="B23" s="445">
        <v>3</v>
      </c>
      <c r="C23" s="843">
        <f t="shared" si="0"/>
        <v>6</v>
      </c>
      <c r="D23" s="916">
        <f t="shared" si="1"/>
        <v>277861.92</v>
      </c>
      <c r="E23" s="916">
        <f t="shared" si="2"/>
        <v>277861.92</v>
      </c>
      <c r="F23" s="916">
        <f t="shared" si="3"/>
        <v>862443185.15999997</v>
      </c>
      <c r="G23" s="917">
        <f t="shared" si="4"/>
        <v>3.221799705547574E-4</v>
      </c>
      <c r="H23" s="918">
        <f t="shared" si="5"/>
        <v>-741.14</v>
      </c>
      <c r="I23" s="919">
        <f t="shared" si="6"/>
        <v>-741.14</v>
      </c>
      <c r="J23" s="918">
        <f t="shared" si="7"/>
        <v>278603.06</v>
      </c>
      <c r="K23" s="917">
        <f t="shared" si="8"/>
        <v>3.2303931991568087E-4</v>
      </c>
      <c r="L23" s="845">
        <f>IF($B23&lt;=$F$4,($D23-$H23)/'3.1 Delinquency Data'!C23,"")</f>
        <v>3.4825383302725089E-4</v>
      </c>
      <c r="M23" s="847"/>
      <c r="Q23" s="840"/>
      <c r="R23" s="848"/>
      <c r="S23" s="848"/>
      <c r="U23" s="23"/>
      <c r="V23" s="751"/>
      <c r="W23" s="812"/>
    </row>
    <row r="24" spans="1:23" ht="13">
      <c r="A24" s="266"/>
      <c r="B24" s="445">
        <v>4</v>
      </c>
      <c r="C24" s="843">
        <f t="shared" si="0"/>
        <v>40</v>
      </c>
      <c r="D24" s="916">
        <f t="shared" si="1"/>
        <v>657619.93999999994</v>
      </c>
      <c r="E24" s="916">
        <f t="shared" si="2"/>
        <v>935481.86</v>
      </c>
      <c r="F24" s="916">
        <f t="shared" si="3"/>
        <v>883454525.34000003</v>
      </c>
      <c r="G24" s="917">
        <f t="shared" si="4"/>
        <v>1.0588907896985156E-3</v>
      </c>
      <c r="H24" s="918">
        <f t="shared" si="5"/>
        <v>-1902.33</v>
      </c>
      <c r="I24" s="919">
        <f t="shared" si="6"/>
        <v>-2643.47</v>
      </c>
      <c r="J24" s="918">
        <f t="shared" si="7"/>
        <v>938125.33</v>
      </c>
      <c r="K24" s="917">
        <f t="shared" si="8"/>
        <v>1.061882986720748E-3</v>
      </c>
      <c r="L24" s="845">
        <f>IF($B24&lt;=$F$4,($D24-$H24)/'3.1 Delinquency Data'!C24,"")</f>
        <v>8.2440289731043007E-4</v>
      </c>
      <c r="M24" s="838"/>
      <c r="N24" s="849"/>
      <c r="O24" s="812"/>
      <c r="P24" s="849"/>
      <c r="Q24" s="850"/>
      <c r="R24" s="851"/>
      <c r="S24" s="848"/>
      <c r="T24" s="849"/>
      <c r="U24" s="23"/>
      <c r="V24" s="751"/>
      <c r="W24" s="842"/>
    </row>
    <row r="25" spans="1:23">
      <c r="A25" s="266"/>
      <c r="B25" s="445">
        <v>5</v>
      </c>
      <c r="C25" s="843">
        <f t="shared" si="0"/>
        <v>74</v>
      </c>
      <c r="D25" s="916">
        <f t="shared" si="1"/>
        <v>874440.48</v>
      </c>
      <c r="E25" s="916">
        <f t="shared" si="2"/>
        <v>1809922.34</v>
      </c>
      <c r="F25" s="916">
        <f t="shared" si="3"/>
        <v>900750896.40999997</v>
      </c>
      <c r="G25" s="917">
        <f t="shared" si="4"/>
        <v>2.0093483639189932E-3</v>
      </c>
      <c r="H25" s="918">
        <f t="shared" si="5"/>
        <v>-4553.34</v>
      </c>
      <c r="I25" s="919">
        <f t="shared" si="6"/>
        <v>-7196.81</v>
      </c>
      <c r="J25" s="918">
        <f t="shared" si="7"/>
        <v>1817119.15</v>
      </c>
      <c r="K25" s="917">
        <f t="shared" si="8"/>
        <v>2.0173381533587632E-3</v>
      </c>
      <c r="L25" s="845">
        <f>IF($B25&lt;=$F$4,($D25-$H25)/'3.1 Delinquency Data'!C25,"")</f>
        <v>1.0987423146096604E-3</v>
      </c>
      <c r="M25" s="109"/>
      <c r="Q25" s="840"/>
      <c r="R25" s="841"/>
      <c r="S25" s="840"/>
      <c r="T25" s="23"/>
      <c r="U25" s="711"/>
      <c r="V25" s="23"/>
      <c r="W25" s="23"/>
    </row>
    <row r="26" spans="1:23">
      <c r="A26" s="266"/>
      <c r="B26" s="445">
        <v>6</v>
      </c>
      <c r="C26" s="843">
        <f t="shared" si="0"/>
        <v>121</v>
      </c>
      <c r="D26" s="916">
        <f t="shared" si="1"/>
        <v>899526.81</v>
      </c>
      <c r="E26" s="916">
        <f t="shared" si="2"/>
        <v>2709449.15</v>
      </c>
      <c r="F26" s="916">
        <f t="shared" si="3"/>
        <v>928167166.32000005</v>
      </c>
      <c r="G26" s="917">
        <f t="shared" si="4"/>
        <v>2.9191391899181613E-3</v>
      </c>
      <c r="H26" s="918">
        <f t="shared" si="5"/>
        <v>-1486.95</v>
      </c>
      <c r="I26" s="919">
        <f t="shared" si="6"/>
        <v>-8683.76</v>
      </c>
      <c r="J26" s="918">
        <f t="shared" si="7"/>
        <v>2718132.91</v>
      </c>
      <c r="K26" s="917">
        <f t="shared" si="8"/>
        <v>2.9284950045979988E-3</v>
      </c>
      <c r="L26" s="845">
        <f>IF($B26&lt;=$F$4,($D26-$H26)/'3.1 Delinquency Data'!C26,"")</f>
        <v>1.1262672483027866E-3</v>
      </c>
      <c r="M26" s="109"/>
      <c r="Q26" s="840"/>
      <c r="R26" s="841"/>
      <c r="S26" s="840"/>
      <c r="T26" s="23"/>
      <c r="U26" s="711"/>
      <c r="V26" s="23"/>
      <c r="W26" s="23"/>
    </row>
    <row r="27" spans="1:23">
      <c r="A27" s="266"/>
      <c r="B27" s="445">
        <v>7</v>
      </c>
      <c r="C27" s="843">
        <f t="shared" si="0"/>
        <v>199</v>
      </c>
      <c r="D27" s="916">
        <f t="shared" si="1"/>
        <v>1864992.84</v>
      </c>
      <c r="E27" s="916">
        <f t="shared" si="2"/>
        <v>4574441.99</v>
      </c>
      <c r="F27" s="916">
        <f t="shared" si="3"/>
        <v>954063794.46000004</v>
      </c>
      <c r="G27" s="917">
        <f t="shared" si="4"/>
        <v>4.794691944671409E-3</v>
      </c>
      <c r="H27" s="918">
        <f t="shared" si="5"/>
        <v>-3874.74</v>
      </c>
      <c r="I27" s="919">
        <f t="shared" si="6"/>
        <v>-12558.5</v>
      </c>
      <c r="J27" s="918">
        <f t="shared" si="7"/>
        <v>4587000.49</v>
      </c>
      <c r="K27" s="917">
        <f t="shared" si="8"/>
        <v>4.8078551105654758E-3</v>
      </c>
      <c r="L27" s="845">
        <f>IF($B27&lt;=$F$4,($D27-$H27)/'3.1 Delinquency Data'!C27,"")</f>
        <v>2.3360845378406739E-3</v>
      </c>
      <c r="M27" s="109"/>
      <c r="O27" s="846"/>
      <c r="Q27" s="840"/>
      <c r="R27" s="848"/>
      <c r="S27" s="848"/>
      <c r="U27" s="23"/>
      <c r="V27" s="23"/>
      <c r="W27" s="23"/>
    </row>
    <row r="28" spans="1:23">
      <c r="A28" s="266"/>
      <c r="B28" s="445">
        <v>8</v>
      </c>
      <c r="C28" s="843">
        <f t="shared" si="0"/>
        <v>275</v>
      </c>
      <c r="D28" s="916">
        <f t="shared" si="1"/>
        <v>1721018.44</v>
      </c>
      <c r="E28" s="916">
        <f t="shared" si="2"/>
        <v>6295460.4299999997</v>
      </c>
      <c r="F28" s="916">
        <f t="shared" si="3"/>
        <v>979754869.64999998</v>
      </c>
      <c r="G28" s="917">
        <f t="shared" si="4"/>
        <v>6.4255464555628503E-3</v>
      </c>
      <c r="H28" s="918">
        <f t="shared" si="5"/>
        <v>-7015</v>
      </c>
      <c r="I28" s="919">
        <f t="shared" si="6"/>
        <v>-19573.5</v>
      </c>
      <c r="J28" s="918">
        <f t="shared" si="7"/>
        <v>6315033.9299999997</v>
      </c>
      <c r="K28" s="917">
        <f t="shared" si="8"/>
        <v>6.4455244118928785E-3</v>
      </c>
      <c r="L28" s="845">
        <f>IF($B28&lt;=$F$4,($D28-$H28)/'3.1 Delinquency Data'!C28,"")</f>
        <v>2.1600418505719797E-3</v>
      </c>
      <c r="M28" s="109"/>
      <c r="Q28" s="840"/>
      <c r="R28" s="848"/>
      <c r="S28" s="848"/>
      <c r="U28" s="23"/>
      <c r="V28" s="23"/>
      <c r="W28" s="23"/>
    </row>
    <row r="29" spans="1:23" ht="13">
      <c r="A29" s="266"/>
      <c r="B29" s="445">
        <v>9</v>
      </c>
      <c r="C29" s="843">
        <f t="shared" si="0"/>
        <v>370</v>
      </c>
      <c r="D29" s="916">
        <f t="shared" si="1"/>
        <v>2055289.17</v>
      </c>
      <c r="E29" s="916">
        <f t="shared" si="2"/>
        <v>8350749.5999999996</v>
      </c>
      <c r="F29" s="916">
        <f t="shared" si="3"/>
        <v>1007180295.11</v>
      </c>
      <c r="G29" s="917">
        <f t="shared" si="4"/>
        <v>8.2912162207144507E-3</v>
      </c>
      <c r="H29" s="918">
        <f t="shared" ref="H29:H35" si="9">IF($F$4&gt;=B29,VLOOKUP(CONCATENATE("defaults_",$B29),defaults,7,0))</f>
        <v>2033.1</v>
      </c>
      <c r="I29" s="919">
        <f t="shared" ref="I29:I35" si="10">IF($F$4&gt;=B29,VLOOKUP(CONCATENATE("defaults_",$B29),defaults,8,0))</f>
        <v>-17540.400000000001</v>
      </c>
      <c r="J29" s="918">
        <f t="shared" ref="J29:J35" si="11">IF($F$4&gt;=B29,VLOOKUP(CONCATENATE("defaults_",$B29),defaults,9,0))</f>
        <v>8368290</v>
      </c>
      <c r="K29" s="917">
        <f t="shared" ref="K29:K35" si="12">IF($F$4&gt;=B29,VLOOKUP(CONCATENATE("defaults_",$B29),defaults,10,0))</f>
        <v>8.308631573343132E-3</v>
      </c>
      <c r="L29" s="845">
        <f>IF($B29&lt;=$F$4,($D29-$H29)/'3.1 Delinquency Data'!C29,"")</f>
        <v>2.5665701748596322E-3</v>
      </c>
      <c r="M29" s="838"/>
      <c r="N29" s="849"/>
      <c r="O29" s="812"/>
      <c r="P29" s="849"/>
      <c r="Q29" s="852"/>
      <c r="R29" s="851"/>
      <c r="S29" s="848"/>
      <c r="T29" s="849"/>
      <c r="U29" s="812"/>
      <c r="V29" s="23"/>
      <c r="W29" s="23"/>
    </row>
    <row r="30" spans="1:23">
      <c r="A30" s="266"/>
      <c r="B30" s="445">
        <v>10</v>
      </c>
      <c r="C30" s="843">
        <f t="shared" si="0"/>
        <v>454</v>
      </c>
      <c r="D30" s="916">
        <f t="shared" si="1"/>
        <v>1963230.39</v>
      </c>
      <c r="E30" s="916">
        <f t="shared" si="2"/>
        <v>10313979.99</v>
      </c>
      <c r="F30" s="916">
        <f t="shared" ref="F30:F35" si="13">IF($F$4&gt;=B30,VLOOKUP(CONCATENATE("defaults_",$B30),defaults,5,0))</f>
        <v>1032429513.09</v>
      </c>
      <c r="G30" s="917">
        <f t="shared" si="4"/>
        <v>9.990008866688509E-3</v>
      </c>
      <c r="H30" s="918">
        <f t="shared" si="9"/>
        <v>14644.48</v>
      </c>
      <c r="I30" s="919">
        <f t="shared" si="10"/>
        <v>-2895.92</v>
      </c>
      <c r="J30" s="918">
        <f t="shared" si="11"/>
        <v>10316875.91</v>
      </c>
      <c r="K30" s="917">
        <f t="shared" si="12"/>
        <v>9.9928138233110024E-3</v>
      </c>
      <c r="L30" s="845">
        <f>IF($B30&lt;=$F$4,($D30-$H30)/'3.1 Delinquency Data'!C30,"")</f>
        <v>2.4357324630685999E-3</v>
      </c>
      <c r="M30" s="109"/>
      <c r="Q30" s="840"/>
      <c r="R30" s="841"/>
      <c r="S30" s="840"/>
      <c r="T30" s="23"/>
      <c r="U30" s="711"/>
      <c r="V30" s="23"/>
      <c r="W30" s="23"/>
    </row>
    <row r="31" spans="1:23">
      <c r="A31" s="266"/>
      <c r="B31" s="445">
        <v>11</v>
      </c>
      <c r="C31" s="843">
        <f t="shared" si="0"/>
        <v>560</v>
      </c>
      <c r="D31" s="916">
        <f t="shared" si="1"/>
        <v>2496297.4</v>
      </c>
      <c r="E31" s="916">
        <f t="shared" si="2"/>
        <v>12810277.390000001</v>
      </c>
      <c r="F31" s="916">
        <f t="shared" si="13"/>
        <v>1058468346.5700001</v>
      </c>
      <c r="G31" s="917">
        <f t="shared" ref="G31:G35" si="14">IF($F$4&gt;=B31,VLOOKUP(CONCATENATE("defaults_",$B31),defaults,6,0))</f>
        <v>1.2102655154036591E-2</v>
      </c>
      <c r="H31" s="918">
        <f t="shared" si="9"/>
        <v>-9644.2900000000009</v>
      </c>
      <c r="I31" s="919">
        <f t="shared" si="10"/>
        <v>-12540.21</v>
      </c>
      <c r="J31" s="918">
        <f t="shared" si="11"/>
        <v>12822817.6</v>
      </c>
      <c r="K31" s="917">
        <f t="shared" si="12"/>
        <v>1.2114502659954588E-2</v>
      </c>
      <c r="L31" s="845">
        <f>IF($B31&lt;=$F$4,($D31-$H31)/'3.1 Delinquency Data'!C31,"")</f>
        <v>3.1324272661455575E-3</v>
      </c>
      <c r="M31" s="109"/>
      <c r="Q31" s="840"/>
      <c r="R31" s="841"/>
      <c r="S31" s="840"/>
      <c r="T31" s="23"/>
      <c r="U31" s="711"/>
      <c r="V31" s="23"/>
      <c r="W31" s="23"/>
    </row>
    <row r="32" spans="1:23">
      <c r="A32" s="266"/>
      <c r="B32" s="445">
        <v>12</v>
      </c>
      <c r="C32" s="843">
        <f t="shared" si="0"/>
        <v>669</v>
      </c>
      <c r="D32" s="916">
        <f t="shared" si="1"/>
        <v>2407067.5299999998</v>
      </c>
      <c r="E32" s="916">
        <f t="shared" si="2"/>
        <v>15217344.92</v>
      </c>
      <c r="F32" s="916">
        <f t="shared" si="13"/>
        <v>1088649819.24</v>
      </c>
      <c r="G32" s="917">
        <f t="shared" si="14"/>
        <v>1.3978181643959137E-2</v>
      </c>
      <c r="H32" s="918">
        <f t="shared" si="9"/>
        <v>29897.93</v>
      </c>
      <c r="I32" s="919">
        <f t="shared" si="10"/>
        <v>17357.72</v>
      </c>
      <c r="J32" s="918">
        <f t="shared" si="11"/>
        <v>15199987.199999999</v>
      </c>
      <c r="K32" s="917">
        <f t="shared" si="12"/>
        <v>1.3962237380070755E-2</v>
      </c>
      <c r="L32" s="845">
        <f>IF($B32&lt;=$F$4,($D32-$H32)/'3.1 Delinquency Data'!C32,"")</f>
        <v>2.971462167850469E-3</v>
      </c>
      <c r="M32" s="109"/>
      <c r="O32" s="846"/>
      <c r="Q32" s="840"/>
      <c r="R32" s="848"/>
      <c r="S32" s="848"/>
      <c r="U32" s="23"/>
      <c r="V32" s="23"/>
      <c r="W32" s="23"/>
    </row>
    <row r="33" spans="1:23" ht="13">
      <c r="A33" s="266"/>
      <c r="B33" s="445">
        <v>13</v>
      </c>
      <c r="C33" s="843">
        <f t="shared" si="0"/>
        <v>791</v>
      </c>
      <c r="D33" s="916">
        <f t="shared" si="1"/>
        <v>2282567.66</v>
      </c>
      <c r="E33" s="916">
        <f t="shared" si="2"/>
        <v>17499912.579999998</v>
      </c>
      <c r="F33" s="916">
        <f t="shared" si="13"/>
        <v>1088649819.24</v>
      </c>
      <c r="G33" s="917">
        <f t="shared" si="14"/>
        <v>1.6074877587557865E-2</v>
      </c>
      <c r="H33" s="918">
        <f t="shared" si="9"/>
        <v>-1560.44</v>
      </c>
      <c r="I33" s="919">
        <f t="shared" si="10"/>
        <v>15797.28</v>
      </c>
      <c r="J33" s="918">
        <f t="shared" si="11"/>
        <v>17484115.300000001</v>
      </c>
      <c r="K33" s="917">
        <f t="shared" si="12"/>
        <v>1.6060366695514517E-2</v>
      </c>
      <c r="L33" s="845">
        <f>IF($B33&lt;=$F$4,($D33-$H33)/'3.1 Delinquency Data'!C33,"")</f>
        <v>2.8551602072286139E-3</v>
      </c>
      <c r="M33" s="109"/>
      <c r="Q33" s="840"/>
      <c r="R33" s="848"/>
      <c r="S33" s="848"/>
      <c r="U33" s="23"/>
      <c r="V33" s="853"/>
      <c r="W33" s="812"/>
    </row>
    <row r="34" spans="1:23" ht="13">
      <c r="A34" s="266"/>
      <c r="B34" s="445">
        <v>14</v>
      </c>
      <c r="C34" s="843">
        <f t="shared" si="0"/>
        <v>869</v>
      </c>
      <c r="D34" s="916">
        <f t="shared" si="1"/>
        <v>1417481.67</v>
      </c>
      <c r="E34" s="916">
        <f t="shared" si="2"/>
        <v>18917394.25</v>
      </c>
      <c r="F34" s="916">
        <f t="shared" si="13"/>
        <v>1088649819.24</v>
      </c>
      <c r="G34" s="917">
        <f t="shared" si="14"/>
        <v>1.7376932339185497E-2</v>
      </c>
      <c r="H34" s="918">
        <f t="shared" si="9"/>
        <v>40791.870000000003</v>
      </c>
      <c r="I34" s="919">
        <f t="shared" si="10"/>
        <v>56589.15</v>
      </c>
      <c r="J34" s="918">
        <f t="shared" si="11"/>
        <v>18860805.100000001</v>
      </c>
      <c r="K34" s="917">
        <f t="shared" si="12"/>
        <v>1.7324951299001697E-2</v>
      </c>
      <c r="L34" s="845">
        <f>IF($B34&lt;=$F$4,($D34-$H34)/'3.1 Delinquency Data'!C34,"")</f>
        <v>1.7208623501756995E-3</v>
      </c>
      <c r="M34" s="838"/>
      <c r="N34" s="849"/>
      <c r="O34" s="812"/>
      <c r="P34" s="849"/>
      <c r="Q34" s="852"/>
      <c r="R34" s="851"/>
      <c r="S34" s="848"/>
      <c r="U34" s="23"/>
      <c r="V34" s="23"/>
      <c r="W34" s="23"/>
    </row>
    <row r="35" spans="1:23">
      <c r="A35" s="266"/>
      <c r="B35" s="445">
        <v>15</v>
      </c>
      <c r="C35" s="843">
        <f t="shared" si="0"/>
        <v>974</v>
      </c>
      <c r="D35" s="916">
        <f t="shared" si="1"/>
        <v>2253958.6</v>
      </c>
      <c r="E35" s="916">
        <f t="shared" si="2"/>
        <v>21171352.850000001</v>
      </c>
      <c r="F35" s="916">
        <f t="shared" si="13"/>
        <v>1088649819.24</v>
      </c>
      <c r="G35" s="917">
        <f t="shared" si="14"/>
        <v>1.9447348886513376E-2</v>
      </c>
      <c r="H35" s="918">
        <f t="shared" si="9"/>
        <v>41020.86</v>
      </c>
      <c r="I35" s="919">
        <f t="shared" si="10"/>
        <v>97610.01</v>
      </c>
      <c r="J35" s="918">
        <f t="shared" si="11"/>
        <v>21073742.84</v>
      </c>
      <c r="K35" s="917">
        <f t="shared" si="12"/>
        <v>1.9357687355068723E-2</v>
      </c>
      <c r="L35" s="845">
        <f>IF($B35&lt;=$F$4,($D35-$H35)/'3.1 Delinquency Data'!C35,"")</f>
        <v>2.8609635782833967E-3</v>
      </c>
      <c r="M35" s="109"/>
      <c r="Q35" s="840"/>
      <c r="R35" s="841"/>
      <c r="S35" s="840"/>
      <c r="T35" s="23"/>
      <c r="U35" s="711"/>
      <c r="V35" s="23"/>
      <c r="W35" s="23"/>
    </row>
    <row r="36" spans="1:23">
      <c r="A36" s="266"/>
      <c r="B36" s="445">
        <v>16</v>
      </c>
      <c r="C36" s="843">
        <f t="shared" si="0"/>
        <v>1068</v>
      </c>
      <c r="D36" s="916">
        <f t="shared" si="1"/>
        <v>1638800.47</v>
      </c>
      <c r="E36" s="916">
        <f t="shared" si="2"/>
        <v>22810153.32</v>
      </c>
      <c r="F36" s="916">
        <f t="shared" ref="F36:F67" si="15">IF($F$4&gt;=B36,VLOOKUP(CONCATENATE("defaults_",$B36),defaults,5,0),"")</f>
        <v>1088649819.24</v>
      </c>
      <c r="G36" s="917">
        <f t="shared" ref="G36:G67" si="16">IF($F$4&gt;=B36,VLOOKUP(CONCATENATE("defaults_",$B36),defaults,6,0),"")</f>
        <v>2.0952700231856056E-2</v>
      </c>
      <c r="H36" s="918">
        <f t="shared" ref="H36:H67" si="17">IF($F$4&gt;=B36,VLOOKUP(CONCATENATE("defaults_",$B36),defaults,7,0),"")</f>
        <v>29155.9</v>
      </c>
      <c r="I36" s="919">
        <f t="shared" ref="I36:I67" si="18">IF($F$4&gt;=B36,VLOOKUP(CONCATENATE("defaults_",$B36),defaults,8,0),"")</f>
        <v>126765.91</v>
      </c>
      <c r="J36" s="918">
        <f t="shared" ref="J36:J67" si="19">IF($F$4&gt;=B36,VLOOKUP(CONCATENATE("defaults_",$B36),defaults,9,0),"")</f>
        <v>22683387.41</v>
      </c>
      <c r="K36" s="917">
        <f t="shared" ref="K36:K67" si="20">IF($F$4&gt;=B36,VLOOKUP(CONCATENATE("defaults_",$B36),defaults,10,0),"")</f>
        <v>2.0836256993856439E-2</v>
      </c>
      <c r="L36" s="845">
        <f>IF($B36&lt;=$F$4,($D36-$H36)/'3.1 Delinquency Data'!C36,"")</f>
        <v>2.1484978709330831E-3</v>
      </c>
      <c r="M36" s="109"/>
      <c r="Q36" s="840"/>
      <c r="R36" s="841"/>
      <c r="S36" s="840"/>
      <c r="T36" s="23"/>
      <c r="U36" s="711"/>
      <c r="V36" s="23"/>
      <c r="W36" s="23"/>
    </row>
    <row r="37" spans="1:23">
      <c r="A37" s="266"/>
      <c r="B37" s="445">
        <v>17</v>
      </c>
      <c r="C37" s="843">
        <f t="shared" si="0"/>
        <v>1167</v>
      </c>
      <c r="D37" s="916">
        <f t="shared" si="1"/>
        <v>1998114.35</v>
      </c>
      <c r="E37" s="916">
        <f t="shared" si="2"/>
        <v>24808267.670000002</v>
      </c>
      <c r="F37" s="916">
        <f t="shared" si="15"/>
        <v>1088649819.24</v>
      </c>
      <c r="G37" s="917">
        <f t="shared" si="16"/>
        <v>2.2788106176620655E-2</v>
      </c>
      <c r="H37" s="918">
        <f t="shared" si="17"/>
        <v>45260.67</v>
      </c>
      <c r="I37" s="919">
        <f t="shared" si="18"/>
        <v>172026.58</v>
      </c>
      <c r="J37" s="918">
        <f t="shared" si="19"/>
        <v>24636241.09</v>
      </c>
      <c r="K37" s="917">
        <f t="shared" si="20"/>
        <v>2.2630087889234089E-2</v>
      </c>
      <c r="L37" s="845">
        <f>IF($B37&lt;=$F$4,($D37-$H37)/'3.1 Delinquency Data'!C37,"")</f>
        <v>2.6975551285316761E-3</v>
      </c>
      <c r="M37" s="109"/>
      <c r="O37" s="846"/>
      <c r="Q37" s="840"/>
      <c r="R37" s="848"/>
      <c r="S37" s="848"/>
      <c r="U37" s="23"/>
      <c r="V37" s="23"/>
      <c r="W37" s="23"/>
    </row>
    <row r="38" spans="1:23" ht="13">
      <c r="A38" s="266"/>
      <c r="B38" s="445">
        <v>18</v>
      </c>
      <c r="C38" s="843">
        <f t="shared" si="0"/>
        <v>1283</v>
      </c>
      <c r="D38" s="916">
        <f t="shared" si="1"/>
        <v>2252702.9</v>
      </c>
      <c r="E38" s="916">
        <f t="shared" si="2"/>
        <v>27060970.57</v>
      </c>
      <c r="F38" s="916">
        <f t="shared" si="15"/>
        <v>1088649819.24</v>
      </c>
      <c r="G38" s="917">
        <f t="shared" si="16"/>
        <v>2.4857369276827329E-2</v>
      </c>
      <c r="H38" s="918">
        <f t="shared" si="17"/>
        <v>56833.14</v>
      </c>
      <c r="I38" s="919">
        <f t="shared" si="18"/>
        <v>228859.72</v>
      </c>
      <c r="J38" s="918">
        <f t="shared" si="19"/>
        <v>26832110.850000001</v>
      </c>
      <c r="K38" s="917">
        <f t="shared" si="20"/>
        <v>2.4647145827601233E-2</v>
      </c>
      <c r="L38" s="845">
        <f>IF($B38&lt;=$F$4,($D38-$H38)/'3.1 Delinquency Data'!C38,"")</f>
        <v>3.1256235452367981E-3</v>
      </c>
      <c r="M38" s="109"/>
      <c r="Q38" s="840"/>
      <c r="R38" s="848"/>
      <c r="S38" s="848"/>
      <c r="U38" s="23"/>
      <c r="V38" s="23"/>
      <c r="W38" s="813"/>
    </row>
    <row r="39" spans="1:23" ht="13">
      <c r="A39" s="266"/>
      <c r="B39" s="445">
        <v>19</v>
      </c>
      <c r="C39" s="843">
        <f t="shared" si="0"/>
        <v>1390</v>
      </c>
      <c r="D39" s="916">
        <f t="shared" si="1"/>
        <v>2341630.04</v>
      </c>
      <c r="E39" s="916">
        <f t="shared" si="2"/>
        <v>29402600.609999999</v>
      </c>
      <c r="F39" s="916">
        <f t="shared" si="15"/>
        <v>1088649819.24</v>
      </c>
      <c r="G39" s="917">
        <f t="shared" si="16"/>
        <v>2.7008318093072685E-2</v>
      </c>
      <c r="H39" s="918">
        <f t="shared" si="17"/>
        <v>25885.26</v>
      </c>
      <c r="I39" s="919">
        <f t="shared" si="18"/>
        <v>254744.98</v>
      </c>
      <c r="J39" s="918">
        <f t="shared" si="19"/>
        <v>29147855.629999999</v>
      </c>
      <c r="K39" s="917">
        <f t="shared" si="20"/>
        <v>2.6774317245878459E-2</v>
      </c>
      <c r="L39" s="845">
        <f>IF($B39&lt;=$F$4,($D39-$H39)/'3.1 Delinquency Data'!C39,"")</f>
        <v>3.3778178446476886E-3</v>
      </c>
      <c r="M39" s="838"/>
      <c r="O39" s="839"/>
      <c r="P39" s="23"/>
      <c r="Q39" s="840"/>
      <c r="R39" s="841"/>
      <c r="S39" s="841"/>
      <c r="T39" s="23"/>
      <c r="U39" s="23"/>
      <c r="V39" s="23"/>
      <c r="W39" s="23"/>
    </row>
    <row r="40" spans="1:23">
      <c r="A40" s="266"/>
      <c r="B40" s="445">
        <v>20</v>
      </c>
      <c r="C40" s="843">
        <f t="shared" si="0"/>
        <v>1499</v>
      </c>
      <c r="D40" s="916">
        <f t="shared" si="1"/>
        <v>2065786.39</v>
      </c>
      <c r="E40" s="916">
        <f t="shared" si="2"/>
        <v>31468387</v>
      </c>
      <c r="F40" s="916">
        <f t="shared" si="15"/>
        <v>1088649819.24</v>
      </c>
      <c r="G40" s="917">
        <f t="shared" si="16"/>
        <v>2.8905885477451761E-2</v>
      </c>
      <c r="H40" s="918">
        <f t="shared" si="17"/>
        <v>86314.16</v>
      </c>
      <c r="I40" s="919">
        <f t="shared" si="18"/>
        <v>341059.14</v>
      </c>
      <c r="J40" s="918">
        <f t="shared" si="19"/>
        <v>31127327.859999999</v>
      </c>
      <c r="K40" s="917">
        <f t="shared" si="20"/>
        <v>2.8592599116702536E-2</v>
      </c>
      <c r="L40" s="845">
        <f>IF($B40&lt;=$F$4,($D40-$H40)/'3.1 Delinquency Data'!C40,"")</f>
        <v>2.983894348808597E-3</v>
      </c>
      <c r="M40" s="109"/>
      <c r="N40" s="23"/>
      <c r="O40" s="23"/>
      <c r="P40" s="23"/>
      <c r="Q40" s="840"/>
      <c r="R40" s="841"/>
      <c r="S40" s="840"/>
      <c r="T40" s="23"/>
      <c r="U40" s="711"/>
      <c r="V40" s="23"/>
      <c r="W40" s="23"/>
    </row>
    <row r="41" spans="1:23">
      <c r="A41" s="266"/>
      <c r="B41" s="445">
        <v>21</v>
      </c>
      <c r="C41" s="843">
        <f t="shared" si="0"/>
        <v>1602</v>
      </c>
      <c r="D41" s="916">
        <f t="shared" si="1"/>
        <v>2128637.7400000002</v>
      </c>
      <c r="E41" s="916">
        <f t="shared" si="2"/>
        <v>33597024.740000002</v>
      </c>
      <c r="F41" s="916">
        <f t="shared" si="15"/>
        <v>1088649819.24</v>
      </c>
      <c r="G41" s="917">
        <f t="shared" si="16"/>
        <v>3.0861186164945587E-2</v>
      </c>
      <c r="H41" s="918">
        <f t="shared" si="17"/>
        <v>76314.039999999994</v>
      </c>
      <c r="I41" s="919">
        <f t="shared" si="18"/>
        <v>417373.18</v>
      </c>
      <c r="J41" s="918">
        <f t="shared" si="19"/>
        <v>33179651.559999999</v>
      </c>
      <c r="K41" s="917">
        <f t="shared" si="20"/>
        <v>3.0477800091091852E-2</v>
      </c>
      <c r="L41" s="845">
        <f>IF($B41&lt;=$F$4,($D41-$H41)/'3.1 Delinquency Data'!C41,"")</f>
        <v>3.1921249162553435E-3</v>
      </c>
      <c r="M41" s="109"/>
      <c r="N41" s="23"/>
      <c r="O41" s="23"/>
      <c r="P41" s="23"/>
      <c r="Q41" s="840"/>
      <c r="R41" s="841"/>
      <c r="S41" s="840"/>
      <c r="T41" s="23"/>
      <c r="U41" s="711"/>
      <c r="V41" s="23"/>
      <c r="W41" s="23"/>
    </row>
    <row r="42" spans="1:23" ht="13">
      <c r="A42" s="266"/>
      <c r="B42" s="445">
        <v>22</v>
      </c>
      <c r="C42" s="843">
        <f t="shared" si="0"/>
        <v>1708</v>
      </c>
      <c r="D42" s="916">
        <f t="shared" si="1"/>
        <v>2114111.79</v>
      </c>
      <c r="E42" s="916">
        <f t="shared" si="2"/>
        <v>35711136.530000001</v>
      </c>
      <c r="F42" s="916">
        <f t="shared" si="15"/>
        <v>1088649819.24</v>
      </c>
      <c r="G42" s="917">
        <f t="shared" si="16"/>
        <v>3.2803143764751082E-2</v>
      </c>
      <c r="H42" s="918">
        <f t="shared" si="17"/>
        <v>39070.449999999997</v>
      </c>
      <c r="I42" s="919">
        <f t="shared" si="18"/>
        <v>456443.63</v>
      </c>
      <c r="J42" s="918">
        <f t="shared" si="19"/>
        <v>35254692.899999999</v>
      </c>
      <c r="K42" s="917">
        <f t="shared" si="20"/>
        <v>3.238386878584313E-2</v>
      </c>
      <c r="L42" s="845">
        <f>IF($B42&lt;=$F$4,($D42-$H42)/'3.1 Delinquency Data'!C42,"")</f>
        <v>3.3323144018010133E-3</v>
      </c>
      <c r="M42" s="109"/>
      <c r="N42" s="23"/>
      <c r="O42" s="846"/>
      <c r="P42" s="23"/>
      <c r="Q42" s="840"/>
      <c r="R42" s="841"/>
      <c r="S42" s="841"/>
      <c r="T42" s="23"/>
      <c r="U42" s="23"/>
      <c r="V42" s="23"/>
      <c r="W42" s="812"/>
    </row>
    <row r="43" spans="1:23" ht="13">
      <c r="A43" s="266"/>
      <c r="B43" s="445">
        <v>23</v>
      </c>
      <c r="C43" s="843">
        <f t="shared" si="0"/>
        <v>1778</v>
      </c>
      <c r="D43" s="916">
        <f t="shared" si="1"/>
        <v>1450018.6</v>
      </c>
      <c r="E43" s="916">
        <f t="shared" si="2"/>
        <v>37161155.130000003</v>
      </c>
      <c r="F43" s="916">
        <f t="shared" si="15"/>
        <v>1088649819.24</v>
      </c>
      <c r="G43" s="917">
        <f t="shared" si="16"/>
        <v>3.4135085932354876E-2</v>
      </c>
      <c r="H43" s="918">
        <f t="shared" si="17"/>
        <v>82645.279999999999</v>
      </c>
      <c r="I43" s="919">
        <f t="shared" si="18"/>
        <v>539088.91</v>
      </c>
      <c r="J43" s="918">
        <f t="shared" si="19"/>
        <v>36622066.219999999</v>
      </c>
      <c r="K43" s="917">
        <f t="shared" si="20"/>
        <v>3.363989555940617E-2</v>
      </c>
      <c r="L43" s="845">
        <f>IF($B43&lt;=$F$4,($D43-$H43)/'3.1 Delinquency Data'!C43,"")</f>
        <v>2.2670564681304727E-3</v>
      </c>
      <c r="M43" s="109"/>
      <c r="O43" s="23"/>
      <c r="P43" s="23"/>
      <c r="Q43" s="840"/>
      <c r="R43" s="841"/>
      <c r="S43" s="841"/>
      <c r="T43" s="23"/>
      <c r="U43" s="23"/>
      <c r="V43" s="23"/>
      <c r="W43" s="817"/>
    </row>
    <row r="44" spans="1:23" ht="13">
      <c r="A44" s="266"/>
      <c r="B44" s="445">
        <v>24</v>
      </c>
      <c r="C44" s="843">
        <f t="shared" si="0"/>
        <v>1896</v>
      </c>
      <c r="D44" s="916">
        <f t="shared" si="1"/>
        <v>2442411.21</v>
      </c>
      <c r="E44" s="916">
        <f t="shared" si="2"/>
        <v>39603566.340000004</v>
      </c>
      <c r="F44" s="916">
        <f t="shared" si="15"/>
        <v>1088649819.24</v>
      </c>
      <c r="G44" s="917">
        <f t="shared" si="16"/>
        <v>3.637860920938539E-2</v>
      </c>
      <c r="H44" s="918">
        <f t="shared" si="17"/>
        <v>62466.87</v>
      </c>
      <c r="I44" s="919">
        <f t="shared" si="18"/>
        <v>601555.78</v>
      </c>
      <c r="J44" s="918">
        <f t="shared" si="19"/>
        <v>39002010.560000002</v>
      </c>
      <c r="K44" s="917">
        <f t="shared" si="20"/>
        <v>3.5826038704739591E-2</v>
      </c>
      <c r="L44" s="845">
        <f>IF($B44&lt;=$F$4,($D44-$H44)/'3.1 Delinquency Data'!C44,"")</f>
        <v>4.0791542167747706E-3</v>
      </c>
      <c r="M44" s="838"/>
      <c r="O44" s="839"/>
      <c r="P44" s="23"/>
      <c r="Q44" s="840"/>
      <c r="R44" s="841"/>
      <c r="S44" s="841"/>
      <c r="T44" s="23"/>
      <c r="U44" s="23"/>
      <c r="V44" s="23"/>
      <c r="W44" s="711"/>
    </row>
    <row r="45" spans="1:23">
      <c r="A45" s="266"/>
      <c r="B45" s="445">
        <v>25</v>
      </c>
      <c r="C45" s="843">
        <f t="shared" si="0"/>
        <v>2013</v>
      </c>
      <c r="D45" s="916">
        <f t="shared" si="1"/>
        <v>2704693.57</v>
      </c>
      <c r="E45" s="916">
        <f t="shared" si="2"/>
        <v>42308259.909999996</v>
      </c>
      <c r="F45" s="916">
        <f t="shared" si="15"/>
        <v>1088649819.24</v>
      </c>
      <c r="G45" s="917">
        <f t="shared" si="16"/>
        <v>3.8863056937386835E-2</v>
      </c>
      <c r="H45" s="918">
        <f t="shared" si="17"/>
        <v>45746.96</v>
      </c>
      <c r="I45" s="919">
        <f t="shared" si="18"/>
        <v>647302.74</v>
      </c>
      <c r="J45" s="918">
        <f t="shared" si="19"/>
        <v>41660957.170000002</v>
      </c>
      <c r="K45" s="917">
        <f t="shared" si="20"/>
        <v>3.8268464692424266E-2</v>
      </c>
      <c r="L45" s="845">
        <f>IF($B45&lt;=$F$4,($D45-$H45)/'3.1 Delinquency Data'!C45,"")</f>
        <v>4.6985330386664229E-3</v>
      </c>
      <c r="M45" s="109"/>
      <c r="N45" s="23"/>
      <c r="O45" s="23"/>
      <c r="P45" s="23"/>
      <c r="Q45" s="840"/>
      <c r="R45" s="841"/>
      <c r="S45" s="840"/>
      <c r="T45" s="23"/>
      <c r="U45" s="711"/>
      <c r="V45" s="23"/>
      <c r="W45" s="23"/>
    </row>
    <row r="46" spans="1:23">
      <c r="A46" s="266"/>
      <c r="B46" s="445">
        <v>26</v>
      </c>
      <c r="C46" s="843">
        <f t="shared" si="0"/>
        <v>2149</v>
      </c>
      <c r="D46" s="916">
        <f t="shared" si="1"/>
        <v>2778904.36</v>
      </c>
      <c r="E46" s="916">
        <f t="shared" si="2"/>
        <v>45087164.270000003</v>
      </c>
      <c r="F46" s="916">
        <f t="shared" si="15"/>
        <v>1088649819.24</v>
      </c>
      <c r="G46" s="917">
        <f t="shared" si="16"/>
        <v>4.1415672398196803E-2</v>
      </c>
      <c r="H46" s="918">
        <f t="shared" si="17"/>
        <v>126663.51</v>
      </c>
      <c r="I46" s="919">
        <f t="shared" si="18"/>
        <v>773966.25</v>
      </c>
      <c r="J46" s="918">
        <f t="shared" si="19"/>
        <v>44313198.020000003</v>
      </c>
      <c r="K46" s="917">
        <f t="shared" si="20"/>
        <v>4.0704730976702498E-2</v>
      </c>
      <c r="L46" s="845">
        <f>IF($B46&lt;=$F$4,($D46-$H46)/'3.1 Delinquency Data'!C46,"")</f>
        <v>4.8579209780352682E-3</v>
      </c>
      <c r="M46" s="109"/>
      <c r="N46" s="23"/>
      <c r="O46" s="23"/>
      <c r="P46" s="23"/>
      <c r="Q46" s="840"/>
      <c r="R46" s="841"/>
      <c r="S46" s="840"/>
      <c r="T46" s="23"/>
      <c r="U46" s="711"/>
      <c r="V46" s="23"/>
      <c r="W46" s="23"/>
    </row>
    <row r="47" spans="1:23">
      <c r="A47" s="266"/>
      <c r="B47" s="445">
        <v>27</v>
      </c>
      <c r="C47" s="843">
        <f t="shared" si="0"/>
        <v>2274</v>
      </c>
      <c r="D47" s="916">
        <f t="shared" si="1"/>
        <v>2428482.5600000001</v>
      </c>
      <c r="E47" s="916">
        <f t="shared" si="2"/>
        <v>47515646.829999998</v>
      </c>
      <c r="F47" s="916">
        <f t="shared" si="15"/>
        <v>1088649819.24</v>
      </c>
      <c r="G47" s="917">
        <f t="shared" si="16"/>
        <v>4.3646401248815962E-2</v>
      </c>
      <c r="H47" s="918">
        <f t="shared" si="17"/>
        <v>50973.52</v>
      </c>
      <c r="I47" s="919">
        <f t="shared" si="18"/>
        <v>824939.77</v>
      </c>
      <c r="J47" s="918">
        <f t="shared" si="19"/>
        <v>46690707.060000002</v>
      </c>
      <c r="K47" s="917">
        <f t="shared" si="20"/>
        <v>4.2888637130896107E-2</v>
      </c>
      <c r="L47" s="845">
        <f>IF($B47&lt;=$F$4,($D47-$H47)/'3.1 Delinquency Data'!C47,"")</f>
        <v>4.4984016354747223E-3</v>
      </c>
      <c r="M47" s="109"/>
      <c r="N47" s="23"/>
      <c r="O47" s="846"/>
      <c r="P47" s="23"/>
      <c r="Q47" s="840"/>
      <c r="R47" s="841"/>
      <c r="S47" s="841"/>
      <c r="T47" s="23"/>
      <c r="U47" s="23"/>
      <c r="V47" s="23"/>
      <c r="W47" s="23"/>
    </row>
    <row r="48" spans="1:23" ht="12.75" customHeight="1">
      <c r="A48" s="266"/>
      <c r="B48" s="445">
        <v>28</v>
      </c>
      <c r="C48" s="843" t="str">
        <f t="shared" si="0"/>
        <v/>
      </c>
      <c r="D48" s="916" t="str">
        <f t="shared" si="1"/>
        <v/>
      </c>
      <c r="E48" s="916" t="str">
        <f t="shared" si="2"/>
        <v/>
      </c>
      <c r="F48" s="916" t="str">
        <f t="shared" si="15"/>
        <v/>
      </c>
      <c r="G48" s="917" t="str">
        <f t="shared" si="16"/>
        <v/>
      </c>
      <c r="H48" s="918" t="str">
        <f t="shared" si="17"/>
        <v/>
      </c>
      <c r="I48" s="919" t="str">
        <f t="shared" si="18"/>
        <v/>
      </c>
      <c r="J48" s="918" t="str">
        <f t="shared" si="19"/>
        <v/>
      </c>
      <c r="K48" s="917" t="str">
        <f t="shared" si="20"/>
        <v/>
      </c>
      <c r="L48" s="845" t="str">
        <f>IF($B48&lt;=$F$4,($D48-$H48)/'3.1 Delinquency Data'!C48,"")</f>
        <v/>
      </c>
      <c r="M48" s="109"/>
      <c r="Q48" s="854"/>
      <c r="S48" s="855"/>
      <c r="U48" s="23"/>
      <c r="V48" s="23"/>
      <c r="W48" s="23"/>
    </row>
    <row r="49" spans="1:23" ht="12.75" customHeight="1">
      <c r="A49" s="266"/>
      <c r="B49" s="445">
        <v>29</v>
      </c>
      <c r="C49" s="843" t="str">
        <f t="shared" si="0"/>
        <v/>
      </c>
      <c r="D49" s="916" t="str">
        <f t="shared" si="1"/>
        <v/>
      </c>
      <c r="E49" s="916" t="str">
        <f t="shared" si="2"/>
        <v/>
      </c>
      <c r="F49" s="916" t="str">
        <f t="shared" si="15"/>
        <v/>
      </c>
      <c r="G49" s="917" t="str">
        <f t="shared" si="16"/>
        <v/>
      </c>
      <c r="H49" s="918" t="str">
        <f t="shared" si="17"/>
        <v/>
      </c>
      <c r="I49" s="919" t="str">
        <f t="shared" si="18"/>
        <v/>
      </c>
      <c r="J49" s="918" t="str">
        <f t="shared" si="19"/>
        <v/>
      </c>
      <c r="K49" s="917" t="str">
        <f t="shared" si="20"/>
        <v/>
      </c>
      <c r="L49" s="845" t="str">
        <f>IF($B49&lt;=$F$4,($D49-$H49)/'3.1 Delinquency Data'!C49,"")</f>
        <v/>
      </c>
      <c r="M49" s="109"/>
      <c r="Q49" s="711"/>
      <c r="S49" s="127"/>
      <c r="U49" s="23"/>
      <c r="V49" s="23"/>
      <c r="W49" s="23"/>
    </row>
    <row r="50" spans="1:23">
      <c r="A50" s="266"/>
      <c r="B50" s="445">
        <v>30</v>
      </c>
      <c r="C50" s="843" t="str">
        <f t="shared" si="0"/>
        <v/>
      </c>
      <c r="D50" s="916" t="str">
        <f t="shared" si="1"/>
        <v/>
      </c>
      <c r="E50" s="916" t="str">
        <f t="shared" si="2"/>
        <v/>
      </c>
      <c r="F50" s="916" t="str">
        <f t="shared" si="15"/>
        <v/>
      </c>
      <c r="G50" s="917" t="str">
        <f t="shared" si="16"/>
        <v/>
      </c>
      <c r="H50" s="918" t="str">
        <f t="shared" si="17"/>
        <v/>
      </c>
      <c r="I50" s="919" t="str">
        <f t="shared" si="18"/>
        <v/>
      </c>
      <c r="J50" s="918" t="str">
        <f t="shared" si="19"/>
        <v/>
      </c>
      <c r="K50" s="917" t="str">
        <f t="shared" si="20"/>
        <v/>
      </c>
      <c r="L50" s="845" t="str">
        <f>IF($B50&lt;=$F$4,($D50-$H50)/'3.1 Delinquency Data'!C50,"")</f>
        <v/>
      </c>
      <c r="M50" s="109"/>
    </row>
    <row r="51" spans="1:23">
      <c r="A51" s="266"/>
      <c r="B51" s="445">
        <v>31</v>
      </c>
      <c r="C51" s="843" t="str">
        <f t="shared" si="0"/>
        <v/>
      </c>
      <c r="D51" s="916" t="str">
        <f t="shared" si="1"/>
        <v/>
      </c>
      <c r="E51" s="916" t="str">
        <f t="shared" si="2"/>
        <v/>
      </c>
      <c r="F51" s="916" t="str">
        <f t="shared" si="15"/>
        <v/>
      </c>
      <c r="G51" s="917" t="str">
        <f t="shared" si="16"/>
        <v/>
      </c>
      <c r="H51" s="918" t="str">
        <f t="shared" si="17"/>
        <v/>
      </c>
      <c r="I51" s="919" t="str">
        <f t="shared" si="18"/>
        <v/>
      </c>
      <c r="J51" s="918" t="str">
        <f t="shared" si="19"/>
        <v/>
      </c>
      <c r="K51" s="917" t="str">
        <f t="shared" si="20"/>
        <v/>
      </c>
      <c r="L51" s="845" t="str">
        <f>IF($B51&lt;=$F$4,($D51-$H51)/'3.1 Delinquency Data'!C51,"")</f>
        <v/>
      </c>
      <c r="M51" s="109"/>
      <c r="S51" s="297"/>
    </row>
    <row r="52" spans="1:23">
      <c r="A52" s="266"/>
      <c r="B52" s="445">
        <v>32</v>
      </c>
      <c r="C52" s="843" t="str">
        <f t="shared" si="0"/>
        <v/>
      </c>
      <c r="D52" s="916" t="str">
        <f t="shared" si="1"/>
        <v/>
      </c>
      <c r="E52" s="916" t="str">
        <f t="shared" si="2"/>
        <v/>
      </c>
      <c r="F52" s="916" t="str">
        <f t="shared" si="15"/>
        <v/>
      </c>
      <c r="G52" s="917" t="str">
        <f t="shared" si="16"/>
        <v/>
      </c>
      <c r="H52" s="918" t="str">
        <f t="shared" si="17"/>
        <v/>
      </c>
      <c r="I52" s="919" t="str">
        <f t="shared" si="18"/>
        <v/>
      </c>
      <c r="J52" s="918" t="str">
        <f t="shared" si="19"/>
        <v/>
      </c>
      <c r="K52" s="917" t="str">
        <f t="shared" si="20"/>
        <v/>
      </c>
      <c r="L52" s="845" t="str">
        <f>IF($B52&lt;=$F$4,($D52-$H52)/'3.1 Delinquency Data'!C52,"")</f>
        <v/>
      </c>
      <c r="M52" s="109"/>
      <c r="S52" s="297"/>
    </row>
    <row r="53" spans="1:23">
      <c r="A53" s="266"/>
      <c r="B53" s="445">
        <v>33</v>
      </c>
      <c r="C53" s="843" t="str">
        <f t="shared" ref="C53:C84" si="21">IF($F$4&gt;=B53,VLOOKUP(CONCATENATE("defaults_",$B53),defaults,2,0),"")</f>
        <v/>
      </c>
      <c r="D53" s="916" t="str">
        <f t="shared" ref="D53:D84" si="22">IF($F$4&gt;=B53,VLOOKUP(CONCATENATE("defaults_",$B53),defaults,3,0),"")</f>
        <v/>
      </c>
      <c r="E53" s="916" t="str">
        <f t="shared" ref="E53:E84" si="23">IF($F$4&gt;=B53,VLOOKUP(CONCATENATE("defaults_",$B53),defaults,4,0),"")</f>
        <v/>
      </c>
      <c r="F53" s="916" t="str">
        <f t="shared" si="15"/>
        <v/>
      </c>
      <c r="G53" s="917" t="str">
        <f t="shared" si="16"/>
        <v/>
      </c>
      <c r="H53" s="918" t="str">
        <f t="shared" si="17"/>
        <v/>
      </c>
      <c r="I53" s="919" t="str">
        <f t="shared" si="18"/>
        <v/>
      </c>
      <c r="J53" s="918" t="str">
        <f t="shared" si="19"/>
        <v/>
      </c>
      <c r="K53" s="917" t="str">
        <f t="shared" si="20"/>
        <v/>
      </c>
      <c r="L53" s="845" t="str">
        <f>IF($B53&lt;=$F$4,($D53-$H53)/'3.1 Delinquency Data'!C53,"")</f>
        <v/>
      </c>
      <c r="M53" s="109"/>
    </row>
    <row r="54" spans="1:23">
      <c r="A54" s="266"/>
      <c r="B54" s="445">
        <v>34</v>
      </c>
      <c r="C54" s="843" t="str">
        <f t="shared" si="21"/>
        <v/>
      </c>
      <c r="D54" s="916" t="str">
        <f t="shared" si="22"/>
        <v/>
      </c>
      <c r="E54" s="916" t="str">
        <f t="shared" si="23"/>
        <v/>
      </c>
      <c r="F54" s="916" t="str">
        <f t="shared" si="15"/>
        <v/>
      </c>
      <c r="G54" s="917" t="str">
        <f t="shared" si="16"/>
        <v/>
      </c>
      <c r="H54" s="918" t="str">
        <f t="shared" si="17"/>
        <v/>
      </c>
      <c r="I54" s="919" t="str">
        <f t="shared" si="18"/>
        <v/>
      </c>
      <c r="J54" s="918" t="str">
        <f t="shared" si="19"/>
        <v/>
      </c>
      <c r="K54" s="917" t="str">
        <f t="shared" si="20"/>
        <v/>
      </c>
      <c r="L54" s="845" t="str">
        <f>IF($B54&lt;=$F$4,($D54-$H54)/'3.1 Delinquency Data'!C54,"")</f>
        <v/>
      </c>
      <c r="M54" s="109"/>
      <c r="N54" s="826"/>
      <c r="O54" s="827"/>
      <c r="Q54" s="827"/>
      <c r="S54" s="297"/>
    </row>
    <row r="55" spans="1:23">
      <c r="A55" s="266"/>
      <c r="B55" s="445">
        <v>35</v>
      </c>
      <c r="C55" s="843" t="str">
        <f t="shared" si="21"/>
        <v/>
      </c>
      <c r="D55" s="916" t="str">
        <f t="shared" si="22"/>
        <v/>
      </c>
      <c r="E55" s="916" t="str">
        <f t="shared" si="23"/>
        <v/>
      </c>
      <c r="F55" s="916" t="str">
        <f t="shared" si="15"/>
        <v/>
      </c>
      <c r="G55" s="917" t="str">
        <f t="shared" si="16"/>
        <v/>
      </c>
      <c r="H55" s="918" t="str">
        <f t="shared" si="17"/>
        <v/>
      </c>
      <c r="I55" s="919" t="str">
        <f t="shared" si="18"/>
        <v/>
      </c>
      <c r="J55" s="918" t="str">
        <f t="shared" si="19"/>
        <v/>
      </c>
      <c r="K55" s="917" t="str">
        <f t="shared" si="20"/>
        <v/>
      </c>
      <c r="L55" s="845" t="str">
        <f>IF($B55&lt;=$F$4,($D55-$H55)/'3.1 Delinquency Data'!C55,"")</f>
        <v/>
      </c>
      <c r="M55" s="109"/>
      <c r="N55" s="826"/>
      <c r="O55" s="827"/>
      <c r="Q55" s="827"/>
    </row>
    <row r="56" spans="1:23">
      <c r="A56" s="266"/>
      <c r="B56" s="445">
        <v>36</v>
      </c>
      <c r="C56" s="843" t="str">
        <f t="shared" si="21"/>
        <v/>
      </c>
      <c r="D56" s="916" t="str">
        <f t="shared" si="22"/>
        <v/>
      </c>
      <c r="E56" s="916" t="str">
        <f t="shared" si="23"/>
        <v/>
      </c>
      <c r="F56" s="916" t="str">
        <f t="shared" si="15"/>
        <v/>
      </c>
      <c r="G56" s="917" t="str">
        <f t="shared" si="16"/>
        <v/>
      </c>
      <c r="H56" s="918" t="str">
        <f t="shared" si="17"/>
        <v/>
      </c>
      <c r="I56" s="919" t="str">
        <f t="shared" si="18"/>
        <v/>
      </c>
      <c r="J56" s="918" t="str">
        <f t="shared" si="19"/>
        <v/>
      </c>
      <c r="K56" s="917" t="str">
        <f t="shared" si="20"/>
        <v/>
      </c>
      <c r="L56" s="845" t="str">
        <f>IF($B56&lt;=$F$4,($D56-$H56)/'3.1 Delinquency Data'!C56,"")</f>
        <v/>
      </c>
      <c r="M56" s="109"/>
    </row>
    <row r="57" spans="1:23">
      <c r="A57" s="266"/>
      <c r="B57" s="445">
        <v>37</v>
      </c>
      <c r="C57" s="843" t="str">
        <f t="shared" si="21"/>
        <v/>
      </c>
      <c r="D57" s="916" t="str">
        <f t="shared" si="22"/>
        <v/>
      </c>
      <c r="E57" s="916" t="str">
        <f t="shared" si="23"/>
        <v/>
      </c>
      <c r="F57" s="916" t="str">
        <f t="shared" si="15"/>
        <v/>
      </c>
      <c r="G57" s="917" t="str">
        <f t="shared" si="16"/>
        <v/>
      </c>
      <c r="H57" s="918" t="str">
        <f t="shared" si="17"/>
        <v/>
      </c>
      <c r="I57" s="919" t="str">
        <f t="shared" si="18"/>
        <v/>
      </c>
      <c r="J57" s="918" t="str">
        <f t="shared" si="19"/>
        <v/>
      </c>
      <c r="K57" s="917" t="str">
        <f t="shared" si="20"/>
        <v/>
      </c>
      <c r="L57" s="845" t="str">
        <f>IF($B57&lt;=$F$4,($D57-$H57)/'3.1 Delinquency Data'!C57,"")</f>
        <v/>
      </c>
      <c r="M57" s="109"/>
      <c r="N57" s="826"/>
      <c r="O57" s="826"/>
      <c r="P57" s="826"/>
      <c r="Q57" s="826"/>
    </row>
    <row r="58" spans="1:23">
      <c r="A58" s="266"/>
      <c r="B58" s="445">
        <v>38</v>
      </c>
      <c r="C58" s="843" t="str">
        <f t="shared" si="21"/>
        <v/>
      </c>
      <c r="D58" s="916" t="str">
        <f t="shared" si="22"/>
        <v/>
      </c>
      <c r="E58" s="916" t="str">
        <f t="shared" si="23"/>
        <v/>
      </c>
      <c r="F58" s="916" t="str">
        <f t="shared" si="15"/>
        <v/>
      </c>
      <c r="G58" s="917" t="str">
        <f t="shared" si="16"/>
        <v/>
      </c>
      <c r="H58" s="918" t="str">
        <f t="shared" si="17"/>
        <v/>
      </c>
      <c r="I58" s="919" t="str">
        <f t="shared" si="18"/>
        <v/>
      </c>
      <c r="J58" s="918" t="str">
        <f t="shared" si="19"/>
        <v/>
      </c>
      <c r="K58" s="917" t="str">
        <f t="shared" si="20"/>
        <v/>
      </c>
      <c r="L58" s="845" t="str">
        <f>IF($B58&lt;=$F$4,($D58-$H58)/'3.1 Delinquency Data'!C58,"")</f>
        <v/>
      </c>
      <c r="M58" s="109"/>
    </row>
    <row r="59" spans="1:23">
      <c r="A59" s="266"/>
      <c r="B59" s="445">
        <v>39</v>
      </c>
      <c r="C59" s="843" t="str">
        <f t="shared" si="21"/>
        <v/>
      </c>
      <c r="D59" s="916" t="str">
        <f t="shared" si="22"/>
        <v/>
      </c>
      <c r="E59" s="916" t="str">
        <f t="shared" si="23"/>
        <v/>
      </c>
      <c r="F59" s="916" t="str">
        <f t="shared" si="15"/>
        <v/>
      </c>
      <c r="G59" s="917" t="str">
        <f t="shared" si="16"/>
        <v/>
      </c>
      <c r="H59" s="918" t="str">
        <f t="shared" si="17"/>
        <v/>
      </c>
      <c r="I59" s="919" t="str">
        <f t="shared" si="18"/>
        <v/>
      </c>
      <c r="J59" s="918" t="str">
        <f t="shared" si="19"/>
        <v/>
      </c>
      <c r="K59" s="917" t="str">
        <f t="shared" si="20"/>
        <v/>
      </c>
      <c r="L59" s="845" t="str">
        <f>IF($B59&lt;=$F$4,($D59-$H59)/'3.1 Delinquency Data'!C59,"")</f>
        <v/>
      </c>
      <c r="M59" s="109"/>
    </row>
    <row r="60" spans="1:23">
      <c r="A60" s="266"/>
      <c r="B60" s="445">
        <v>40</v>
      </c>
      <c r="C60" s="843" t="str">
        <f t="shared" si="21"/>
        <v/>
      </c>
      <c r="D60" s="916" t="str">
        <f t="shared" si="22"/>
        <v/>
      </c>
      <c r="E60" s="916" t="str">
        <f t="shared" si="23"/>
        <v/>
      </c>
      <c r="F60" s="916" t="str">
        <f t="shared" si="15"/>
        <v/>
      </c>
      <c r="G60" s="917" t="str">
        <f t="shared" si="16"/>
        <v/>
      </c>
      <c r="H60" s="918" t="str">
        <f t="shared" si="17"/>
        <v/>
      </c>
      <c r="I60" s="919" t="str">
        <f t="shared" si="18"/>
        <v/>
      </c>
      <c r="J60" s="918" t="str">
        <f t="shared" si="19"/>
        <v/>
      </c>
      <c r="K60" s="917" t="str">
        <f t="shared" si="20"/>
        <v/>
      </c>
      <c r="L60" s="845" t="str">
        <f>IF($B60&lt;=$F$4,($D60-$H60)/'3.1 Delinquency Data'!C60,"")</f>
        <v/>
      </c>
      <c r="M60" s="109"/>
    </row>
    <row r="61" spans="1:23">
      <c r="A61" s="266"/>
      <c r="B61" s="445">
        <v>41</v>
      </c>
      <c r="C61" s="843" t="str">
        <f t="shared" si="21"/>
        <v/>
      </c>
      <c r="D61" s="916" t="str">
        <f t="shared" si="22"/>
        <v/>
      </c>
      <c r="E61" s="916" t="str">
        <f t="shared" si="23"/>
        <v/>
      </c>
      <c r="F61" s="916" t="str">
        <f t="shared" si="15"/>
        <v/>
      </c>
      <c r="G61" s="917" t="str">
        <f t="shared" si="16"/>
        <v/>
      </c>
      <c r="H61" s="918" t="str">
        <f t="shared" si="17"/>
        <v/>
      </c>
      <c r="I61" s="919" t="str">
        <f t="shared" si="18"/>
        <v/>
      </c>
      <c r="J61" s="918" t="str">
        <f t="shared" si="19"/>
        <v/>
      </c>
      <c r="K61" s="917" t="str">
        <f t="shared" si="20"/>
        <v/>
      </c>
      <c r="L61" s="845" t="str">
        <f>IF($B61&lt;=$F$4,($D61-$H61)/'3.1 Delinquency Data'!C61,"")</f>
        <v/>
      </c>
      <c r="M61" s="109"/>
    </row>
    <row r="62" spans="1:23">
      <c r="A62" s="266"/>
      <c r="B62" s="445">
        <v>42</v>
      </c>
      <c r="C62" s="843" t="str">
        <f t="shared" si="21"/>
        <v/>
      </c>
      <c r="D62" s="916" t="str">
        <f t="shared" si="22"/>
        <v/>
      </c>
      <c r="E62" s="916" t="str">
        <f t="shared" si="23"/>
        <v/>
      </c>
      <c r="F62" s="916" t="str">
        <f t="shared" si="15"/>
        <v/>
      </c>
      <c r="G62" s="917" t="str">
        <f t="shared" si="16"/>
        <v/>
      </c>
      <c r="H62" s="918" t="str">
        <f t="shared" si="17"/>
        <v/>
      </c>
      <c r="I62" s="919" t="str">
        <f t="shared" si="18"/>
        <v/>
      </c>
      <c r="J62" s="918" t="str">
        <f t="shared" si="19"/>
        <v/>
      </c>
      <c r="K62" s="917" t="str">
        <f t="shared" si="20"/>
        <v/>
      </c>
      <c r="L62" s="845" t="str">
        <f>IF($B62&lt;=$F$4,($D62-$H62)/'3.1 Delinquency Data'!C62,"")</f>
        <v/>
      </c>
      <c r="M62" s="109"/>
    </row>
    <row r="63" spans="1:23">
      <c r="A63" s="266"/>
      <c r="B63" s="445">
        <v>43</v>
      </c>
      <c r="C63" s="843" t="str">
        <f t="shared" si="21"/>
        <v/>
      </c>
      <c r="D63" s="916" t="str">
        <f t="shared" si="22"/>
        <v/>
      </c>
      <c r="E63" s="916" t="str">
        <f t="shared" si="23"/>
        <v/>
      </c>
      <c r="F63" s="916" t="str">
        <f t="shared" si="15"/>
        <v/>
      </c>
      <c r="G63" s="917" t="str">
        <f t="shared" si="16"/>
        <v/>
      </c>
      <c r="H63" s="918" t="str">
        <f t="shared" si="17"/>
        <v/>
      </c>
      <c r="I63" s="919" t="str">
        <f t="shared" si="18"/>
        <v/>
      </c>
      <c r="J63" s="918" t="str">
        <f t="shared" si="19"/>
        <v/>
      </c>
      <c r="K63" s="917" t="str">
        <f t="shared" si="20"/>
        <v/>
      </c>
      <c r="L63" s="845" t="str">
        <f>IF($B63&lt;=$F$4,($D63-$H63)/'3.1 Delinquency Data'!C63,"")</f>
        <v/>
      </c>
      <c r="M63" s="109"/>
    </row>
    <row r="64" spans="1:23">
      <c r="A64" s="266"/>
      <c r="B64" s="445">
        <v>44</v>
      </c>
      <c r="C64" s="843" t="str">
        <f t="shared" si="21"/>
        <v/>
      </c>
      <c r="D64" s="916" t="str">
        <f t="shared" si="22"/>
        <v/>
      </c>
      <c r="E64" s="916" t="str">
        <f t="shared" si="23"/>
        <v/>
      </c>
      <c r="F64" s="916" t="str">
        <f t="shared" si="15"/>
        <v/>
      </c>
      <c r="G64" s="917" t="str">
        <f t="shared" si="16"/>
        <v/>
      </c>
      <c r="H64" s="918" t="str">
        <f t="shared" si="17"/>
        <v/>
      </c>
      <c r="I64" s="919" t="str">
        <f t="shared" si="18"/>
        <v/>
      </c>
      <c r="J64" s="918" t="str">
        <f t="shared" si="19"/>
        <v/>
      </c>
      <c r="K64" s="917" t="str">
        <f t="shared" si="20"/>
        <v/>
      </c>
      <c r="L64" s="845" t="str">
        <f>IF($B64&lt;=$F$4,($D64-$H64)/'3.1 Delinquency Data'!C64,"")</f>
        <v/>
      </c>
      <c r="M64" s="109"/>
    </row>
    <row r="65" spans="1:13">
      <c r="A65" s="266"/>
      <c r="B65" s="445">
        <v>45</v>
      </c>
      <c r="C65" s="843" t="str">
        <f t="shared" si="21"/>
        <v/>
      </c>
      <c r="D65" s="916" t="str">
        <f t="shared" si="22"/>
        <v/>
      </c>
      <c r="E65" s="916" t="str">
        <f t="shared" si="23"/>
        <v/>
      </c>
      <c r="F65" s="916" t="str">
        <f t="shared" si="15"/>
        <v/>
      </c>
      <c r="G65" s="917" t="str">
        <f t="shared" si="16"/>
        <v/>
      </c>
      <c r="H65" s="918" t="str">
        <f t="shared" si="17"/>
        <v/>
      </c>
      <c r="I65" s="919" t="str">
        <f t="shared" si="18"/>
        <v/>
      </c>
      <c r="J65" s="918" t="str">
        <f t="shared" si="19"/>
        <v/>
      </c>
      <c r="K65" s="917" t="str">
        <f t="shared" si="20"/>
        <v/>
      </c>
      <c r="L65" s="845" t="str">
        <f>IF($B65&lt;=$F$4,($D65-$H65)/'3.1 Delinquency Data'!C65,"")</f>
        <v/>
      </c>
      <c r="M65" s="109"/>
    </row>
    <row r="66" spans="1:13">
      <c r="A66" s="266"/>
      <c r="B66" s="445">
        <v>46</v>
      </c>
      <c r="C66" s="843" t="str">
        <f t="shared" si="21"/>
        <v/>
      </c>
      <c r="D66" s="916" t="str">
        <f t="shared" si="22"/>
        <v/>
      </c>
      <c r="E66" s="916" t="str">
        <f t="shared" si="23"/>
        <v/>
      </c>
      <c r="F66" s="916" t="str">
        <f t="shared" si="15"/>
        <v/>
      </c>
      <c r="G66" s="917" t="str">
        <f t="shared" si="16"/>
        <v/>
      </c>
      <c r="H66" s="918" t="str">
        <f t="shared" si="17"/>
        <v/>
      </c>
      <c r="I66" s="919" t="str">
        <f t="shared" si="18"/>
        <v/>
      </c>
      <c r="J66" s="918" t="str">
        <f t="shared" si="19"/>
        <v/>
      </c>
      <c r="K66" s="917" t="str">
        <f t="shared" si="20"/>
        <v/>
      </c>
      <c r="L66" s="845" t="str">
        <f>IF($B66&lt;=$F$4,($D66-$H66)/'3.1 Delinquency Data'!C66,"")</f>
        <v/>
      </c>
      <c r="M66" s="109"/>
    </row>
    <row r="67" spans="1:13">
      <c r="A67" s="266"/>
      <c r="B67" s="445">
        <v>47</v>
      </c>
      <c r="C67" s="843" t="str">
        <f t="shared" si="21"/>
        <v/>
      </c>
      <c r="D67" s="916" t="str">
        <f t="shared" si="22"/>
        <v/>
      </c>
      <c r="E67" s="916" t="str">
        <f t="shared" si="23"/>
        <v/>
      </c>
      <c r="F67" s="916" t="str">
        <f t="shared" si="15"/>
        <v/>
      </c>
      <c r="G67" s="917" t="str">
        <f t="shared" si="16"/>
        <v/>
      </c>
      <c r="H67" s="918" t="str">
        <f t="shared" si="17"/>
        <v/>
      </c>
      <c r="I67" s="919" t="str">
        <f t="shared" si="18"/>
        <v/>
      </c>
      <c r="J67" s="918" t="str">
        <f t="shared" si="19"/>
        <v/>
      </c>
      <c r="K67" s="917" t="str">
        <f t="shared" si="20"/>
        <v/>
      </c>
      <c r="L67" s="845" t="str">
        <f>IF($B67&lt;=$F$4,($D67-$H67)/'3.1 Delinquency Data'!C67,"")</f>
        <v/>
      </c>
      <c r="M67" s="109"/>
    </row>
    <row r="68" spans="1:13">
      <c r="A68" s="266"/>
      <c r="B68" s="445">
        <v>48</v>
      </c>
      <c r="C68" s="843" t="str">
        <f t="shared" si="21"/>
        <v/>
      </c>
      <c r="D68" s="916" t="str">
        <f t="shared" si="22"/>
        <v/>
      </c>
      <c r="E68" s="916" t="str">
        <f t="shared" si="23"/>
        <v/>
      </c>
      <c r="F68" s="916" t="str">
        <f t="shared" ref="F68:F100" si="24">IF($F$4&gt;=B68,VLOOKUP(CONCATENATE("defaults_",$B68),defaults,5,0),"")</f>
        <v/>
      </c>
      <c r="G68" s="917" t="str">
        <f t="shared" ref="G68:G100" si="25">IF($F$4&gt;=B68,VLOOKUP(CONCATENATE("defaults_",$B68),defaults,6,0),"")</f>
        <v/>
      </c>
      <c r="H68" s="918" t="str">
        <f t="shared" ref="H68:H100" si="26">IF($F$4&gt;=B68,VLOOKUP(CONCATENATE("defaults_",$B68),defaults,7,0),"")</f>
        <v/>
      </c>
      <c r="I68" s="919" t="str">
        <f t="shared" ref="I68:I100" si="27">IF($F$4&gt;=B68,VLOOKUP(CONCATENATE("defaults_",$B68),defaults,8,0),"")</f>
        <v/>
      </c>
      <c r="J68" s="918" t="str">
        <f t="shared" ref="J68:J100" si="28">IF($F$4&gt;=B68,VLOOKUP(CONCATENATE("defaults_",$B68),defaults,9,0),"")</f>
        <v/>
      </c>
      <c r="K68" s="917" t="str">
        <f t="shared" ref="K68:K100" si="29">IF($F$4&gt;=B68,VLOOKUP(CONCATENATE("defaults_",$B68),defaults,10,0),"")</f>
        <v/>
      </c>
      <c r="L68" s="845" t="str">
        <f>IF($B68&lt;=$F$4,($D68-$H68)/'3.1 Delinquency Data'!C68,"")</f>
        <v/>
      </c>
      <c r="M68" s="109"/>
    </row>
    <row r="69" spans="1:13">
      <c r="A69" s="266"/>
      <c r="B69" s="445">
        <v>49</v>
      </c>
      <c r="C69" s="843" t="str">
        <f t="shared" si="21"/>
        <v/>
      </c>
      <c r="D69" s="916" t="str">
        <f t="shared" si="22"/>
        <v/>
      </c>
      <c r="E69" s="916" t="str">
        <f t="shared" si="23"/>
        <v/>
      </c>
      <c r="F69" s="916" t="str">
        <f t="shared" si="24"/>
        <v/>
      </c>
      <c r="G69" s="917" t="str">
        <f t="shared" si="25"/>
        <v/>
      </c>
      <c r="H69" s="918" t="str">
        <f t="shared" si="26"/>
        <v/>
      </c>
      <c r="I69" s="919" t="str">
        <f t="shared" si="27"/>
        <v/>
      </c>
      <c r="J69" s="918" t="str">
        <f t="shared" si="28"/>
        <v/>
      </c>
      <c r="K69" s="917" t="str">
        <f t="shared" si="29"/>
        <v/>
      </c>
      <c r="L69" s="845" t="str">
        <f>IF($B69&lt;=$F$4,($D69-$H69)/'3.1 Delinquency Data'!C69,"")</f>
        <v/>
      </c>
      <c r="M69" s="109"/>
    </row>
    <row r="70" spans="1:13">
      <c r="A70" s="266"/>
      <c r="B70" s="445">
        <v>50</v>
      </c>
      <c r="C70" s="843" t="str">
        <f t="shared" si="21"/>
        <v/>
      </c>
      <c r="D70" s="916" t="str">
        <f t="shared" si="22"/>
        <v/>
      </c>
      <c r="E70" s="916" t="str">
        <f t="shared" si="23"/>
        <v/>
      </c>
      <c r="F70" s="916" t="str">
        <f t="shared" si="24"/>
        <v/>
      </c>
      <c r="G70" s="917" t="str">
        <f t="shared" si="25"/>
        <v/>
      </c>
      <c r="H70" s="918" t="str">
        <f t="shared" si="26"/>
        <v/>
      </c>
      <c r="I70" s="919" t="str">
        <f t="shared" si="27"/>
        <v/>
      </c>
      <c r="J70" s="918" t="str">
        <f t="shared" si="28"/>
        <v/>
      </c>
      <c r="K70" s="917" t="str">
        <f t="shared" si="29"/>
        <v/>
      </c>
      <c r="L70" s="845" t="str">
        <f>IF($B70&lt;=$F$4,($D70-$H70)/'3.1 Delinquency Data'!C70,"")</f>
        <v/>
      </c>
      <c r="M70" s="109"/>
    </row>
    <row r="71" spans="1:13">
      <c r="A71" s="266"/>
      <c r="B71" s="445">
        <v>51</v>
      </c>
      <c r="C71" s="843" t="str">
        <f t="shared" si="21"/>
        <v/>
      </c>
      <c r="D71" s="916" t="str">
        <f t="shared" si="22"/>
        <v/>
      </c>
      <c r="E71" s="916" t="str">
        <f t="shared" si="23"/>
        <v/>
      </c>
      <c r="F71" s="916" t="str">
        <f t="shared" si="24"/>
        <v/>
      </c>
      <c r="G71" s="917" t="str">
        <f t="shared" si="25"/>
        <v/>
      </c>
      <c r="H71" s="918" t="str">
        <f t="shared" si="26"/>
        <v/>
      </c>
      <c r="I71" s="919" t="str">
        <f t="shared" si="27"/>
        <v/>
      </c>
      <c r="J71" s="918" t="str">
        <f t="shared" si="28"/>
        <v/>
      </c>
      <c r="K71" s="917" t="str">
        <f t="shared" si="29"/>
        <v/>
      </c>
      <c r="L71" s="845" t="str">
        <f>IF($B71&lt;=$F$4,($D71-$H71)/'3.1 Delinquency Data'!C71,"")</f>
        <v/>
      </c>
      <c r="M71" s="109"/>
    </row>
    <row r="72" spans="1:13">
      <c r="A72" s="266"/>
      <c r="B72" s="445">
        <v>52</v>
      </c>
      <c r="C72" s="843" t="str">
        <f t="shared" si="21"/>
        <v/>
      </c>
      <c r="D72" s="916" t="str">
        <f t="shared" si="22"/>
        <v/>
      </c>
      <c r="E72" s="916" t="str">
        <f t="shared" si="23"/>
        <v/>
      </c>
      <c r="F72" s="916" t="str">
        <f t="shared" si="24"/>
        <v/>
      </c>
      <c r="G72" s="917" t="str">
        <f t="shared" si="25"/>
        <v/>
      </c>
      <c r="H72" s="918" t="str">
        <f t="shared" si="26"/>
        <v/>
      </c>
      <c r="I72" s="919" t="str">
        <f t="shared" si="27"/>
        <v/>
      </c>
      <c r="J72" s="918" t="str">
        <f t="shared" si="28"/>
        <v/>
      </c>
      <c r="K72" s="917" t="str">
        <f t="shared" si="29"/>
        <v/>
      </c>
      <c r="L72" s="845" t="str">
        <f>IF($B72&lt;=$F$4,($D72-$H72)/'3.1 Delinquency Data'!C72,"")</f>
        <v/>
      </c>
      <c r="M72" s="109"/>
    </row>
    <row r="73" spans="1:13">
      <c r="A73" s="266"/>
      <c r="B73" s="445">
        <v>53</v>
      </c>
      <c r="C73" s="843" t="str">
        <f t="shared" si="21"/>
        <v/>
      </c>
      <c r="D73" s="916" t="str">
        <f t="shared" si="22"/>
        <v/>
      </c>
      <c r="E73" s="916" t="str">
        <f t="shared" si="23"/>
        <v/>
      </c>
      <c r="F73" s="916" t="str">
        <f t="shared" si="24"/>
        <v/>
      </c>
      <c r="G73" s="917" t="str">
        <f t="shared" si="25"/>
        <v/>
      </c>
      <c r="H73" s="918" t="str">
        <f t="shared" si="26"/>
        <v/>
      </c>
      <c r="I73" s="919" t="str">
        <f t="shared" si="27"/>
        <v/>
      </c>
      <c r="J73" s="918" t="str">
        <f t="shared" si="28"/>
        <v/>
      </c>
      <c r="K73" s="917" t="str">
        <f t="shared" si="29"/>
        <v/>
      </c>
      <c r="L73" s="845" t="str">
        <f>IF($B73&lt;=$F$4,($D73-$H73)/'3.1 Delinquency Data'!C73,"")</f>
        <v/>
      </c>
      <c r="M73" s="109"/>
    </row>
    <row r="74" spans="1:13">
      <c r="A74" s="266"/>
      <c r="B74" s="445">
        <v>54</v>
      </c>
      <c r="C74" s="843" t="str">
        <f t="shared" si="21"/>
        <v/>
      </c>
      <c r="D74" s="916" t="str">
        <f t="shared" si="22"/>
        <v/>
      </c>
      <c r="E74" s="916" t="str">
        <f t="shared" si="23"/>
        <v/>
      </c>
      <c r="F74" s="916" t="str">
        <f t="shared" si="24"/>
        <v/>
      </c>
      <c r="G74" s="917" t="str">
        <f t="shared" si="25"/>
        <v/>
      </c>
      <c r="H74" s="918" t="str">
        <f t="shared" si="26"/>
        <v/>
      </c>
      <c r="I74" s="919" t="str">
        <f t="shared" si="27"/>
        <v/>
      </c>
      <c r="J74" s="918" t="str">
        <f t="shared" si="28"/>
        <v/>
      </c>
      <c r="K74" s="917" t="str">
        <f t="shared" si="29"/>
        <v/>
      </c>
      <c r="L74" s="845" t="str">
        <f>IF($B74&lt;=$F$4,($D74-$H74)/'3.1 Delinquency Data'!C74,"")</f>
        <v/>
      </c>
      <c r="M74" s="109"/>
    </row>
    <row r="75" spans="1:13">
      <c r="A75" s="266"/>
      <c r="B75" s="445">
        <v>55</v>
      </c>
      <c r="C75" s="843" t="str">
        <f t="shared" si="21"/>
        <v/>
      </c>
      <c r="D75" s="916" t="str">
        <f t="shared" si="22"/>
        <v/>
      </c>
      <c r="E75" s="916" t="str">
        <f t="shared" si="23"/>
        <v/>
      </c>
      <c r="F75" s="916" t="str">
        <f t="shared" si="24"/>
        <v/>
      </c>
      <c r="G75" s="917" t="str">
        <f t="shared" si="25"/>
        <v/>
      </c>
      <c r="H75" s="918" t="str">
        <f t="shared" si="26"/>
        <v/>
      </c>
      <c r="I75" s="919" t="str">
        <f t="shared" si="27"/>
        <v/>
      </c>
      <c r="J75" s="918" t="str">
        <f t="shared" si="28"/>
        <v/>
      </c>
      <c r="K75" s="917" t="str">
        <f t="shared" si="29"/>
        <v/>
      </c>
      <c r="L75" s="845" t="str">
        <f>IF($B75&lt;=$F$4,($D75-$H75)/'3.1 Delinquency Data'!C75,"")</f>
        <v/>
      </c>
      <c r="M75" s="109"/>
    </row>
    <row r="76" spans="1:13">
      <c r="A76" s="266"/>
      <c r="B76" s="445">
        <v>56</v>
      </c>
      <c r="C76" s="843" t="str">
        <f t="shared" si="21"/>
        <v/>
      </c>
      <c r="D76" s="916" t="str">
        <f t="shared" si="22"/>
        <v/>
      </c>
      <c r="E76" s="916" t="str">
        <f t="shared" si="23"/>
        <v/>
      </c>
      <c r="F76" s="916" t="str">
        <f t="shared" si="24"/>
        <v/>
      </c>
      <c r="G76" s="917" t="str">
        <f t="shared" si="25"/>
        <v/>
      </c>
      <c r="H76" s="918" t="str">
        <f t="shared" si="26"/>
        <v/>
      </c>
      <c r="I76" s="919" t="str">
        <f t="shared" si="27"/>
        <v/>
      </c>
      <c r="J76" s="918" t="str">
        <f t="shared" si="28"/>
        <v/>
      </c>
      <c r="K76" s="917" t="str">
        <f t="shared" si="29"/>
        <v/>
      </c>
      <c r="L76" s="845" t="str">
        <f>IF($B76&lt;=$F$4,($D76-$H76)/'3.1 Delinquency Data'!C76,"")</f>
        <v/>
      </c>
      <c r="M76" s="109"/>
    </row>
    <row r="77" spans="1:13">
      <c r="A77" s="266"/>
      <c r="B77" s="445">
        <v>57</v>
      </c>
      <c r="C77" s="843" t="str">
        <f t="shared" si="21"/>
        <v/>
      </c>
      <c r="D77" s="916" t="str">
        <f t="shared" si="22"/>
        <v/>
      </c>
      <c r="E77" s="916" t="str">
        <f t="shared" si="23"/>
        <v/>
      </c>
      <c r="F77" s="916" t="str">
        <f t="shared" si="24"/>
        <v/>
      </c>
      <c r="G77" s="917" t="str">
        <f t="shared" si="25"/>
        <v/>
      </c>
      <c r="H77" s="918" t="str">
        <f t="shared" si="26"/>
        <v/>
      </c>
      <c r="I77" s="919" t="str">
        <f t="shared" si="27"/>
        <v/>
      </c>
      <c r="J77" s="918" t="str">
        <f t="shared" si="28"/>
        <v/>
      </c>
      <c r="K77" s="917" t="str">
        <f t="shared" si="29"/>
        <v/>
      </c>
      <c r="L77" s="845" t="str">
        <f>IF($B77&lt;=$F$4,($D77-$H77)/'3.1 Delinquency Data'!C77,"")</f>
        <v/>
      </c>
      <c r="M77" s="109"/>
    </row>
    <row r="78" spans="1:13">
      <c r="A78" s="266"/>
      <c r="B78" s="445">
        <v>58</v>
      </c>
      <c r="C78" s="843" t="str">
        <f t="shared" si="21"/>
        <v/>
      </c>
      <c r="D78" s="916" t="str">
        <f t="shared" si="22"/>
        <v/>
      </c>
      <c r="E78" s="916" t="str">
        <f t="shared" si="23"/>
        <v/>
      </c>
      <c r="F78" s="916" t="str">
        <f t="shared" si="24"/>
        <v/>
      </c>
      <c r="G78" s="917" t="str">
        <f t="shared" si="25"/>
        <v/>
      </c>
      <c r="H78" s="918" t="str">
        <f t="shared" si="26"/>
        <v/>
      </c>
      <c r="I78" s="919" t="str">
        <f t="shared" si="27"/>
        <v/>
      </c>
      <c r="J78" s="918" t="str">
        <f t="shared" si="28"/>
        <v/>
      </c>
      <c r="K78" s="917" t="str">
        <f t="shared" si="29"/>
        <v/>
      </c>
      <c r="L78" s="845" t="str">
        <f>IF($B78&lt;=$F$4,($D78-$H78)/'3.1 Delinquency Data'!C78,"")</f>
        <v/>
      </c>
      <c r="M78" s="109"/>
    </row>
    <row r="79" spans="1:13">
      <c r="A79" s="266"/>
      <c r="B79" s="445">
        <v>59</v>
      </c>
      <c r="C79" s="843" t="str">
        <f t="shared" si="21"/>
        <v/>
      </c>
      <c r="D79" s="916" t="str">
        <f t="shared" si="22"/>
        <v/>
      </c>
      <c r="E79" s="916" t="str">
        <f t="shared" si="23"/>
        <v/>
      </c>
      <c r="F79" s="916" t="str">
        <f t="shared" si="24"/>
        <v/>
      </c>
      <c r="G79" s="917" t="str">
        <f t="shared" si="25"/>
        <v/>
      </c>
      <c r="H79" s="918" t="str">
        <f t="shared" si="26"/>
        <v/>
      </c>
      <c r="I79" s="919" t="str">
        <f t="shared" si="27"/>
        <v/>
      </c>
      <c r="J79" s="918" t="str">
        <f t="shared" si="28"/>
        <v/>
      </c>
      <c r="K79" s="917" t="str">
        <f t="shared" si="29"/>
        <v/>
      </c>
      <c r="L79" s="845" t="str">
        <f>IF($B79&lt;=$F$4,($D79-$H79)/'3.1 Delinquency Data'!C79,"")</f>
        <v/>
      </c>
      <c r="M79" s="109"/>
    </row>
    <row r="80" spans="1:13">
      <c r="A80" s="266"/>
      <c r="B80" s="445">
        <v>60</v>
      </c>
      <c r="C80" s="843" t="str">
        <f t="shared" si="21"/>
        <v/>
      </c>
      <c r="D80" s="916" t="str">
        <f t="shared" si="22"/>
        <v/>
      </c>
      <c r="E80" s="916" t="str">
        <f t="shared" si="23"/>
        <v/>
      </c>
      <c r="F80" s="916" t="str">
        <f t="shared" si="24"/>
        <v/>
      </c>
      <c r="G80" s="917" t="str">
        <f t="shared" si="25"/>
        <v/>
      </c>
      <c r="H80" s="918" t="str">
        <f t="shared" si="26"/>
        <v/>
      </c>
      <c r="I80" s="919" t="str">
        <f t="shared" si="27"/>
        <v/>
      </c>
      <c r="J80" s="918" t="str">
        <f t="shared" si="28"/>
        <v/>
      </c>
      <c r="K80" s="917" t="str">
        <f t="shared" si="29"/>
        <v/>
      </c>
      <c r="L80" s="845" t="str">
        <f>IF($B80&lt;=$F$4,($D80-$H80)/'3.1 Delinquency Data'!C80,"")</f>
        <v/>
      </c>
      <c r="M80" s="109"/>
    </row>
    <row r="81" spans="1:13">
      <c r="A81" s="266"/>
      <c r="B81" s="445">
        <v>61</v>
      </c>
      <c r="C81" s="843" t="str">
        <f t="shared" si="21"/>
        <v/>
      </c>
      <c r="D81" s="916" t="str">
        <f t="shared" si="22"/>
        <v/>
      </c>
      <c r="E81" s="916" t="str">
        <f t="shared" si="23"/>
        <v/>
      </c>
      <c r="F81" s="916" t="str">
        <f t="shared" si="24"/>
        <v/>
      </c>
      <c r="G81" s="917" t="str">
        <f t="shared" si="25"/>
        <v/>
      </c>
      <c r="H81" s="918" t="str">
        <f t="shared" si="26"/>
        <v/>
      </c>
      <c r="I81" s="919" t="str">
        <f t="shared" si="27"/>
        <v/>
      </c>
      <c r="J81" s="918" t="str">
        <f t="shared" si="28"/>
        <v/>
      </c>
      <c r="K81" s="917" t="str">
        <f t="shared" si="29"/>
        <v/>
      </c>
      <c r="L81" s="845" t="str">
        <f>IF($B81&lt;=$F$4,($D81-$H81)/'3.1 Delinquency Data'!C81,"")</f>
        <v/>
      </c>
      <c r="M81" s="109"/>
    </row>
    <row r="82" spans="1:13">
      <c r="A82" s="266"/>
      <c r="B82" s="445">
        <v>62</v>
      </c>
      <c r="C82" s="843" t="str">
        <f t="shared" si="21"/>
        <v/>
      </c>
      <c r="D82" s="916" t="str">
        <f t="shared" si="22"/>
        <v/>
      </c>
      <c r="E82" s="916" t="str">
        <f t="shared" si="23"/>
        <v/>
      </c>
      <c r="F82" s="916" t="str">
        <f t="shared" si="24"/>
        <v/>
      </c>
      <c r="G82" s="917" t="str">
        <f t="shared" si="25"/>
        <v/>
      </c>
      <c r="H82" s="918" t="str">
        <f t="shared" si="26"/>
        <v/>
      </c>
      <c r="I82" s="919" t="str">
        <f t="shared" si="27"/>
        <v/>
      </c>
      <c r="J82" s="918" t="str">
        <f t="shared" si="28"/>
        <v/>
      </c>
      <c r="K82" s="917" t="str">
        <f t="shared" si="29"/>
        <v/>
      </c>
      <c r="L82" s="845" t="str">
        <f>IF($B82&lt;=$F$4,($D82-$H82)/'3.1 Delinquency Data'!C82,"")</f>
        <v/>
      </c>
      <c r="M82" s="109"/>
    </row>
    <row r="83" spans="1:13">
      <c r="A83" s="266"/>
      <c r="B83" s="445">
        <v>63</v>
      </c>
      <c r="C83" s="843" t="str">
        <f t="shared" si="21"/>
        <v/>
      </c>
      <c r="D83" s="916" t="str">
        <f t="shared" si="22"/>
        <v/>
      </c>
      <c r="E83" s="916" t="str">
        <f t="shared" si="23"/>
        <v/>
      </c>
      <c r="F83" s="916" t="str">
        <f t="shared" si="24"/>
        <v/>
      </c>
      <c r="G83" s="917" t="str">
        <f t="shared" si="25"/>
        <v/>
      </c>
      <c r="H83" s="918" t="str">
        <f t="shared" si="26"/>
        <v/>
      </c>
      <c r="I83" s="919" t="str">
        <f t="shared" si="27"/>
        <v/>
      </c>
      <c r="J83" s="918" t="str">
        <f t="shared" si="28"/>
        <v/>
      </c>
      <c r="K83" s="917" t="str">
        <f t="shared" si="29"/>
        <v/>
      </c>
      <c r="L83" s="845" t="str">
        <f>IF($B83&lt;=$F$4,($D83-$H83)/'3.1 Delinquency Data'!C83,"")</f>
        <v/>
      </c>
      <c r="M83" s="109"/>
    </row>
    <row r="84" spans="1:13">
      <c r="A84" s="266"/>
      <c r="B84" s="445">
        <v>64</v>
      </c>
      <c r="C84" s="843" t="str">
        <f t="shared" si="21"/>
        <v/>
      </c>
      <c r="D84" s="916" t="str">
        <f t="shared" si="22"/>
        <v/>
      </c>
      <c r="E84" s="916" t="str">
        <f t="shared" si="23"/>
        <v/>
      </c>
      <c r="F84" s="916" t="str">
        <f t="shared" si="24"/>
        <v/>
      </c>
      <c r="G84" s="917" t="str">
        <f t="shared" si="25"/>
        <v/>
      </c>
      <c r="H84" s="918" t="str">
        <f t="shared" si="26"/>
        <v/>
      </c>
      <c r="I84" s="919" t="str">
        <f t="shared" si="27"/>
        <v/>
      </c>
      <c r="J84" s="918" t="str">
        <f t="shared" si="28"/>
        <v/>
      </c>
      <c r="K84" s="917" t="str">
        <f t="shared" si="29"/>
        <v/>
      </c>
      <c r="L84" s="845" t="str">
        <f>IF($B84&lt;=$F$4,($D84-$H84)/'3.1 Delinquency Data'!C84,"")</f>
        <v/>
      </c>
      <c r="M84" s="109"/>
    </row>
    <row r="85" spans="1:13">
      <c r="A85" s="266"/>
      <c r="B85" s="445">
        <v>65</v>
      </c>
      <c r="C85" s="843" t="str">
        <f t="shared" ref="C85:C100" si="30">IF($F$4&gt;=B85,VLOOKUP(CONCATENATE("defaults_",$B85),defaults,2,0),"")</f>
        <v/>
      </c>
      <c r="D85" s="916" t="str">
        <f t="shared" ref="D85:D100" si="31">IF($F$4&gt;=B85,VLOOKUP(CONCATENATE("defaults_",$B85),defaults,3,0),"")</f>
        <v/>
      </c>
      <c r="E85" s="916" t="str">
        <f t="shared" ref="E85:E100" si="32">IF($F$4&gt;=B85,VLOOKUP(CONCATENATE("defaults_",$B85),defaults,4,0),"")</f>
        <v/>
      </c>
      <c r="F85" s="916" t="str">
        <f t="shared" si="24"/>
        <v/>
      </c>
      <c r="G85" s="917" t="str">
        <f t="shared" si="25"/>
        <v/>
      </c>
      <c r="H85" s="918" t="str">
        <f t="shared" si="26"/>
        <v/>
      </c>
      <c r="I85" s="919" t="str">
        <f t="shared" si="27"/>
        <v/>
      </c>
      <c r="J85" s="918" t="str">
        <f t="shared" si="28"/>
        <v/>
      </c>
      <c r="K85" s="917" t="str">
        <f t="shared" si="29"/>
        <v/>
      </c>
      <c r="L85" s="845" t="str">
        <f>IF($B85&lt;=$F$4,($D85-$H85)/'3.1 Delinquency Data'!C85,"")</f>
        <v/>
      </c>
      <c r="M85" s="109"/>
    </row>
    <row r="86" spans="1:13">
      <c r="A86" s="266"/>
      <c r="B86" s="445">
        <v>66</v>
      </c>
      <c r="C86" s="843" t="str">
        <f t="shared" si="30"/>
        <v/>
      </c>
      <c r="D86" s="916" t="str">
        <f t="shared" si="31"/>
        <v/>
      </c>
      <c r="E86" s="916" t="str">
        <f t="shared" si="32"/>
        <v/>
      </c>
      <c r="F86" s="916" t="str">
        <f t="shared" si="24"/>
        <v/>
      </c>
      <c r="G86" s="917" t="str">
        <f t="shared" si="25"/>
        <v/>
      </c>
      <c r="H86" s="918" t="str">
        <f t="shared" si="26"/>
        <v/>
      </c>
      <c r="I86" s="919" t="str">
        <f t="shared" si="27"/>
        <v/>
      </c>
      <c r="J86" s="918" t="str">
        <f t="shared" si="28"/>
        <v/>
      </c>
      <c r="K86" s="917" t="str">
        <f t="shared" si="29"/>
        <v/>
      </c>
      <c r="L86" s="845" t="str">
        <f>IF($B86&lt;=$F$4,($D86-$H86)/'3.1 Delinquency Data'!C86,"")</f>
        <v/>
      </c>
      <c r="M86" s="109"/>
    </row>
    <row r="87" spans="1:13">
      <c r="A87" s="266"/>
      <c r="B87" s="445">
        <v>67</v>
      </c>
      <c r="C87" s="843" t="str">
        <f t="shared" si="30"/>
        <v/>
      </c>
      <c r="D87" s="916" t="str">
        <f t="shared" si="31"/>
        <v/>
      </c>
      <c r="E87" s="916" t="str">
        <f t="shared" si="32"/>
        <v/>
      </c>
      <c r="F87" s="916" t="str">
        <f t="shared" si="24"/>
        <v/>
      </c>
      <c r="G87" s="917" t="str">
        <f t="shared" si="25"/>
        <v/>
      </c>
      <c r="H87" s="918" t="str">
        <f t="shared" si="26"/>
        <v/>
      </c>
      <c r="I87" s="919" t="str">
        <f t="shared" si="27"/>
        <v/>
      </c>
      <c r="J87" s="918" t="str">
        <f t="shared" si="28"/>
        <v/>
      </c>
      <c r="K87" s="917" t="str">
        <f t="shared" si="29"/>
        <v/>
      </c>
      <c r="L87" s="845" t="str">
        <f>IF($B87&lt;=$F$4,($D87-$H87)/'3.1 Delinquency Data'!C87,"")</f>
        <v/>
      </c>
      <c r="M87" s="109"/>
    </row>
    <row r="88" spans="1:13">
      <c r="A88" s="266"/>
      <c r="B88" s="445">
        <v>68</v>
      </c>
      <c r="C88" s="843" t="str">
        <f t="shared" si="30"/>
        <v/>
      </c>
      <c r="D88" s="916" t="str">
        <f t="shared" si="31"/>
        <v/>
      </c>
      <c r="E88" s="916" t="str">
        <f t="shared" si="32"/>
        <v/>
      </c>
      <c r="F88" s="916" t="str">
        <f t="shared" si="24"/>
        <v/>
      </c>
      <c r="G88" s="917" t="str">
        <f t="shared" si="25"/>
        <v/>
      </c>
      <c r="H88" s="918" t="str">
        <f t="shared" si="26"/>
        <v/>
      </c>
      <c r="I88" s="919" t="str">
        <f t="shared" si="27"/>
        <v/>
      </c>
      <c r="J88" s="918" t="str">
        <f t="shared" si="28"/>
        <v/>
      </c>
      <c r="K88" s="917" t="str">
        <f t="shared" si="29"/>
        <v/>
      </c>
      <c r="L88" s="845" t="str">
        <f>IF($B88&lt;=$F$4,($D88-$H88)/'3.1 Delinquency Data'!C88,"")</f>
        <v/>
      </c>
      <c r="M88" s="109"/>
    </row>
    <row r="89" spans="1:13">
      <c r="A89" s="266"/>
      <c r="B89" s="445">
        <v>69</v>
      </c>
      <c r="C89" s="843" t="str">
        <f t="shared" si="30"/>
        <v/>
      </c>
      <c r="D89" s="916" t="str">
        <f t="shared" si="31"/>
        <v/>
      </c>
      <c r="E89" s="916" t="str">
        <f t="shared" si="32"/>
        <v/>
      </c>
      <c r="F89" s="916" t="str">
        <f t="shared" si="24"/>
        <v/>
      </c>
      <c r="G89" s="917" t="str">
        <f t="shared" si="25"/>
        <v/>
      </c>
      <c r="H89" s="918" t="str">
        <f t="shared" si="26"/>
        <v/>
      </c>
      <c r="I89" s="919" t="str">
        <f t="shared" si="27"/>
        <v/>
      </c>
      <c r="J89" s="918" t="str">
        <f t="shared" si="28"/>
        <v/>
      </c>
      <c r="K89" s="917" t="str">
        <f t="shared" si="29"/>
        <v/>
      </c>
      <c r="L89" s="845" t="str">
        <f>IF($B89&lt;=$F$4,($D89-$H89)/'3.1 Delinquency Data'!C89,"")</f>
        <v/>
      </c>
      <c r="M89" s="109"/>
    </row>
    <row r="90" spans="1:13">
      <c r="A90" s="266"/>
      <c r="B90" s="445">
        <v>70</v>
      </c>
      <c r="C90" s="843" t="str">
        <f t="shared" si="30"/>
        <v/>
      </c>
      <c r="D90" s="916" t="str">
        <f t="shared" si="31"/>
        <v/>
      </c>
      <c r="E90" s="916" t="str">
        <f t="shared" si="32"/>
        <v/>
      </c>
      <c r="F90" s="916" t="str">
        <f t="shared" si="24"/>
        <v/>
      </c>
      <c r="G90" s="917" t="str">
        <f t="shared" si="25"/>
        <v/>
      </c>
      <c r="H90" s="918" t="str">
        <f t="shared" si="26"/>
        <v/>
      </c>
      <c r="I90" s="919" t="str">
        <f t="shared" si="27"/>
        <v/>
      </c>
      <c r="J90" s="918" t="str">
        <f t="shared" si="28"/>
        <v/>
      </c>
      <c r="K90" s="917" t="str">
        <f t="shared" si="29"/>
        <v/>
      </c>
      <c r="L90" s="845" t="str">
        <f>IF($B90&lt;=$F$4,($D90-$H90)/'3.1 Delinquency Data'!C90,"")</f>
        <v/>
      </c>
      <c r="M90" s="109"/>
    </row>
    <row r="91" spans="1:13">
      <c r="A91" s="266"/>
      <c r="B91" s="445">
        <v>71</v>
      </c>
      <c r="C91" s="843" t="str">
        <f t="shared" si="30"/>
        <v/>
      </c>
      <c r="D91" s="916" t="str">
        <f t="shared" si="31"/>
        <v/>
      </c>
      <c r="E91" s="916" t="str">
        <f t="shared" si="32"/>
        <v/>
      </c>
      <c r="F91" s="916" t="str">
        <f t="shared" si="24"/>
        <v/>
      </c>
      <c r="G91" s="917" t="str">
        <f t="shared" si="25"/>
        <v/>
      </c>
      <c r="H91" s="918" t="str">
        <f t="shared" si="26"/>
        <v/>
      </c>
      <c r="I91" s="919" t="str">
        <f t="shared" si="27"/>
        <v/>
      </c>
      <c r="J91" s="918" t="str">
        <f t="shared" si="28"/>
        <v/>
      </c>
      <c r="K91" s="917" t="str">
        <f t="shared" si="29"/>
        <v/>
      </c>
      <c r="L91" s="845" t="str">
        <f>IF($B91&lt;=$F$4,($D91-$H91)/'3.1 Delinquency Data'!C91,"")</f>
        <v/>
      </c>
      <c r="M91" s="109"/>
    </row>
    <row r="92" spans="1:13">
      <c r="A92" s="266"/>
      <c r="B92" s="445">
        <v>72</v>
      </c>
      <c r="C92" s="843" t="str">
        <f t="shared" si="30"/>
        <v/>
      </c>
      <c r="D92" s="916" t="str">
        <f t="shared" si="31"/>
        <v/>
      </c>
      <c r="E92" s="916" t="str">
        <f t="shared" si="32"/>
        <v/>
      </c>
      <c r="F92" s="916" t="str">
        <f t="shared" si="24"/>
        <v/>
      </c>
      <c r="G92" s="917" t="str">
        <f t="shared" si="25"/>
        <v/>
      </c>
      <c r="H92" s="918" t="str">
        <f t="shared" si="26"/>
        <v/>
      </c>
      <c r="I92" s="919" t="str">
        <f t="shared" si="27"/>
        <v/>
      </c>
      <c r="J92" s="918" t="str">
        <f t="shared" si="28"/>
        <v/>
      </c>
      <c r="K92" s="917" t="str">
        <f t="shared" si="29"/>
        <v/>
      </c>
      <c r="L92" s="845" t="str">
        <f>IF($B92&lt;=$F$4,($D92-$H92)/'3.1 Delinquency Data'!C92,"")</f>
        <v/>
      </c>
      <c r="M92" s="109"/>
    </row>
    <row r="93" spans="1:13">
      <c r="A93" s="266"/>
      <c r="B93" s="445">
        <v>73</v>
      </c>
      <c r="C93" s="843" t="str">
        <f t="shared" si="30"/>
        <v/>
      </c>
      <c r="D93" s="916" t="str">
        <f t="shared" si="31"/>
        <v/>
      </c>
      <c r="E93" s="916" t="str">
        <f t="shared" si="32"/>
        <v/>
      </c>
      <c r="F93" s="916" t="str">
        <f t="shared" si="24"/>
        <v/>
      </c>
      <c r="G93" s="917" t="str">
        <f t="shared" si="25"/>
        <v/>
      </c>
      <c r="H93" s="918" t="str">
        <f t="shared" si="26"/>
        <v/>
      </c>
      <c r="I93" s="919" t="str">
        <f t="shared" si="27"/>
        <v/>
      </c>
      <c r="J93" s="918" t="str">
        <f t="shared" si="28"/>
        <v/>
      </c>
      <c r="K93" s="917" t="str">
        <f t="shared" si="29"/>
        <v/>
      </c>
      <c r="L93" s="845" t="str">
        <f>IF($B93&lt;=$F$4,($D93-$H93)/'3.1 Delinquency Data'!C93,"")</f>
        <v/>
      </c>
      <c r="M93" s="109"/>
    </row>
    <row r="94" spans="1:13">
      <c r="A94" s="266"/>
      <c r="B94" s="445">
        <v>74</v>
      </c>
      <c r="C94" s="843" t="str">
        <f t="shared" si="30"/>
        <v/>
      </c>
      <c r="D94" s="916" t="str">
        <f t="shared" si="31"/>
        <v/>
      </c>
      <c r="E94" s="916" t="str">
        <f t="shared" si="32"/>
        <v/>
      </c>
      <c r="F94" s="916" t="str">
        <f t="shared" si="24"/>
        <v/>
      </c>
      <c r="G94" s="917" t="str">
        <f t="shared" si="25"/>
        <v/>
      </c>
      <c r="H94" s="918" t="str">
        <f t="shared" si="26"/>
        <v/>
      </c>
      <c r="I94" s="919" t="str">
        <f t="shared" si="27"/>
        <v/>
      </c>
      <c r="J94" s="918" t="str">
        <f t="shared" si="28"/>
        <v/>
      </c>
      <c r="K94" s="917" t="str">
        <f t="shared" si="29"/>
        <v/>
      </c>
      <c r="L94" s="845" t="str">
        <f>IF($B94&lt;=$F$4,($D94-$H94)/'3.1 Delinquency Data'!C94,"")</f>
        <v/>
      </c>
      <c r="M94" s="109"/>
    </row>
    <row r="95" spans="1:13">
      <c r="A95" s="266"/>
      <c r="B95" s="445">
        <v>75</v>
      </c>
      <c r="C95" s="843" t="str">
        <f t="shared" si="30"/>
        <v/>
      </c>
      <c r="D95" s="916" t="str">
        <f t="shared" si="31"/>
        <v/>
      </c>
      <c r="E95" s="916" t="str">
        <f t="shared" si="32"/>
        <v/>
      </c>
      <c r="F95" s="916" t="str">
        <f t="shared" si="24"/>
        <v/>
      </c>
      <c r="G95" s="917" t="str">
        <f t="shared" si="25"/>
        <v/>
      </c>
      <c r="H95" s="918" t="str">
        <f t="shared" si="26"/>
        <v/>
      </c>
      <c r="I95" s="919" t="str">
        <f t="shared" si="27"/>
        <v/>
      </c>
      <c r="J95" s="918" t="str">
        <f t="shared" si="28"/>
        <v/>
      </c>
      <c r="K95" s="917" t="str">
        <f t="shared" si="29"/>
        <v/>
      </c>
      <c r="L95" s="845" t="str">
        <f>IF($B95&lt;=$F$4,($D95-$H95)/'3.1 Delinquency Data'!C95,"")</f>
        <v/>
      </c>
      <c r="M95" s="109"/>
    </row>
    <row r="96" spans="1:13">
      <c r="A96" s="266"/>
      <c r="B96" s="445">
        <v>76</v>
      </c>
      <c r="C96" s="843" t="str">
        <f t="shared" si="30"/>
        <v/>
      </c>
      <c r="D96" s="916" t="str">
        <f t="shared" si="31"/>
        <v/>
      </c>
      <c r="E96" s="916" t="str">
        <f t="shared" si="32"/>
        <v/>
      </c>
      <c r="F96" s="916" t="str">
        <f t="shared" si="24"/>
        <v/>
      </c>
      <c r="G96" s="917" t="str">
        <f t="shared" si="25"/>
        <v/>
      </c>
      <c r="H96" s="918" t="str">
        <f t="shared" si="26"/>
        <v/>
      </c>
      <c r="I96" s="919" t="str">
        <f t="shared" si="27"/>
        <v/>
      </c>
      <c r="J96" s="918" t="str">
        <f t="shared" si="28"/>
        <v/>
      </c>
      <c r="K96" s="917" t="str">
        <f t="shared" si="29"/>
        <v/>
      </c>
      <c r="L96" s="845" t="str">
        <f>IF($B96&lt;=$F$4,($D96-$H96)/'3.1 Delinquency Data'!C96,"")</f>
        <v/>
      </c>
      <c r="M96" s="109"/>
    </row>
    <row r="97" spans="1:13">
      <c r="A97" s="266"/>
      <c r="B97" s="445">
        <v>77</v>
      </c>
      <c r="C97" s="843" t="str">
        <f t="shared" si="30"/>
        <v/>
      </c>
      <c r="D97" s="916" t="str">
        <f t="shared" si="31"/>
        <v/>
      </c>
      <c r="E97" s="916" t="str">
        <f t="shared" si="32"/>
        <v/>
      </c>
      <c r="F97" s="916" t="str">
        <f t="shared" si="24"/>
        <v/>
      </c>
      <c r="G97" s="917" t="str">
        <f t="shared" si="25"/>
        <v/>
      </c>
      <c r="H97" s="918" t="str">
        <f t="shared" si="26"/>
        <v/>
      </c>
      <c r="I97" s="919" t="str">
        <f t="shared" si="27"/>
        <v/>
      </c>
      <c r="J97" s="918" t="str">
        <f t="shared" si="28"/>
        <v/>
      </c>
      <c r="K97" s="917" t="str">
        <f t="shared" si="29"/>
        <v/>
      </c>
      <c r="L97" s="845" t="str">
        <f>IF($B97&lt;=$F$4,($D97-$H97)/'3.1 Delinquency Data'!C97,"")</f>
        <v/>
      </c>
      <c r="M97" s="109"/>
    </row>
    <row r="98" spans="1:13">
      <c r="A98" s="266"/>
      <c r="B98" s="445">
        <v>78</v>
      </c>
      <c r="C98" s="843" t="str">
        <f t="shared" si="30"/>
        <v/>
      </c>
      <c r="D98" s="916" t="str">
        <f t="shared" si="31"/>
        <v/>
      </c>
      <c r="E98" s="916" t="str">
        <f t="shared" si="32"/>
        <v/>
      </c>
      <c r="F98" s="916" t="str">
        <f t="shared" si="24"/>
        <v/>
      </c>
      <c r="G98" s="917" t="str">
        <f t="shared" si="25"/>
        <v/>
      </c>
      <c r="H98" s="918" t="str">
        <f t="shared" si="26"/>
        <v/>
      </c>
      <c r="I98" s="919" t="str">
        <f t="shared" si="27"/>
        <v/>
      </c>
      <c r="J98" s="918" t="str">
        <f t="shared" si="28"/>
        <v/>
      </c>
      <c r="K98" s="917" t="str">
        <f t="shared" si="29"/>
        <v/>
      </c>
      <c r="L98" s="845" t="str">
        <f>IF($B98&lt;=$F$4,($D98-$H98)/'3.1 Delinquency Data'!C98,"")</f>
        <v/>
      </c>
      <c r="M98" s="109"/>
    </row>
    <row r="99" spans="1:13">
      <c r="A99" s="266"/>
      <c r="B99" s="856">
        <v>79</v>
      </c>
      <c r="C99" s="843" t="str">
        <f t="shared" si="30"/>
        <v/>
      </c>
      <c r="D99" s="916" t="str">
        <f t="shared" si="31"/>
        <v/>
      </c>
      <c r="E99" s="916" t="str">
        <f t="shared" si="32"/>
        <v/>
      </c>
      <c r="F99" s="916" t="str">
        <f t="shared" si="24"/>
        <v/>
      </c>
      <c r="G99" s="917" t="str">
        <f t="shared" si="25"/>
        <v/>
      </c>
      <c r="H99" s="918" t="str">
        <f t="shared" si="26"/>
        <v/>
      </c>
      <c r="I99" s="919" t="str">
        <f t="shared" si="27"/>
        <v/>
      </c>
      <c r="J99" s="918" t="str">
        <f t="shared" si="28"/>
        <v/>
      </c>
      <c r="K99" s="917" t="str">
        <f t="shared" si="29"/>
        <v/>
      </c>
      <c r="L99" s="845" t="str">
        <f>IF($B99&lt;=$F$4,($D99-$H99)/'3.1 Delinquency Data'!C99,"")</f>
        <v/>
      </c>
      <c r="M99" s="109"/>
    </row>
    <row r="100" spans="1:13">
      <c r="A100" s="266"/>
      <c r="B100" s="857">
        <v>80</v>
      </c>
      <c r="C100" s="996" t="str">
        <f t="shared" si="30"/>
        <v/>
      </c>
      <c r="D100" s="962" t="str">
        <f t="shared" si="31"/>
        <v/>
      </c>
      <c r="E100" s="962" t="str">
        <f t="shared" si="32"/>
        <v/>
      </c>
      <c r="F100" s="962" t="str">
        <f t="shared" si="24"/>
        <v/>
      </c>
      <c r="G100" s="963" t="str">
        <f t="shared" si="25"/>
        <v/>
      </c>
      <c r="H100" s="964" t="str">
        <f t="shared" si="26"/>
        <v/>
      </c>
      <c r="I100" s="965" t="str">
        <f t="shared" si="27"/>
        <v/>
      </c>
      <c r="J100" s="964" t="str">
        <f t="shared" si="28"/>
        <v/>
      </c>
      <c r="K100" s="963" t="str">
        <f t="shared" si="29"/>
        <v/>
      </c>
      <c r="L100" s="858" t="str">
        <f>IF(ISNUMBER($C100),($D100-$H100)/'3.1 Delinquency Data'!C100,"")</f>
        <v/>
      </c>
      <c r="M100" s="109"/>
    </row>
    <row r="101" spans="1:13">
      <c r="A101" s="340"/>
      <c r="B101" s="1012" t="s">
        <v>548</v>
      </c>
      <c r="C101" s="966"/>
      <c r="D101" s="967"/>
      <c r="E101" s="967"/>
      <c r="F101" s="967"/>
      <c r="G101" s="968"/>
      <c r="H101" s="969"/>
      <c r="I101" s="970"/>
      <c r="J101" s="969"/>
      <c r="K101" s="968"/>
      <c r="L101" s="343"/>
      <c r="M101" s="110"/>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3"/>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1" customWidth="1"/>
    <col min="2" max="2" width="86" style="31" customWidth="1"/>
    <col min="3" max="3" width="19.1796875" style="31" customWidth="1"/>
    <col min="4" max="4" width="21.453125" style="31" customWidth="1"/>
    <col min="5" max="5" width="4.81640625" style="31" customWidth="1"/>
    <col min="6" max="6" width="18.81640625" style="31" customWidth="1"/>
    <col min="7" max="7" width="4.81640625" style="31" customWidth="1"/>
    <col min="8" max="8" width="18.81640625" style="31" customWidth="1"/>
    <col min="9" max="9" width="4.81640625" style="31" customWidth="1"/>
    <col min="10" max="10" width="18.81640625" style="31" customWidth="1"/>
    <col min="11" max="11" width="4.81640625" style="31" customWidth="1"/>
    <col min="12" max="12" width="18.81640625" style="31" customWidth="1"/>
    <col min="13" max="13" width="2" style="31" customWidth="1"/>
    <col min="14" max="16384" width="9.1796875" style="31"/>
  </cols>
  <sheetData>
    <row r="1" spans="1:13" ht="6" customHeight="1">
      <c r="A1" s="765"/>
      <c r="B1" s="766"/>
      <c r="C1" s="766"/>
      <c r="D1" s="766"/>
      <c r="E1" s="766"/>
      <c r="F1" s="766"/>
      <c r="G1" s="766"/>
      <c r="H1" s="766"/>
      <c r="I1" s="766"/>
      <c r="J1" s="766"/>
      <c r="K1" s="766"/>
      <c r="L1" s="766"/>
      <c r="M1" s="767"/>
    </row>
    <row r="2" spans="1:13" ht="18" customHeight="1">
      <c r="A2" s="312"/>
      <c r="B2" s="302" t="str">
        <f>'Cover Sheet'!B2</f>
        <v>SC Germany Consumer 2023-1</v>
      </c>
      <c r="C2" s="302"/>
      <c r="D2" s="768" t="str">
        <f>'Cover Sheet'!D2</f>
        <v>Calculation Date</v>
      </c>
      <c r="E2" s="769"/>
      <c r="F2" s="770">
        <f>'Cover Sheet'!F2</f>
        <v>45973</v>
      </c>
      <c r="G2" s="769"/>
      <c r="H2" s="769"/>
      <c r="I2" s="769"/>
      <c r="J2" s="769"/>
      <c r="K2" s="769"/>
      <c r="L2" s="771"/>
      <c r="M2" s="273"/>
    </row>
    <row r="3" spans="1:13" ht="18" customHeight="1">
      <c r="A3" s="312"/>
      <c r="B3" s="302" t="str">
        <f>'Cover Sheet'!B3</f>
        <v>Monthly Investor Report</v>
      </c>
      <c r="C3" s="302"/>
      <c r="D3" s="772" t="str">
        <f>'Cover Sheet'!D3</f>
        <v>Payment Date</v>
      </c>
      <c r="E3" s="773"/>
      <c r="F3" s="774">
        <f>'Cover Sheet'!F3</f>
        <v>45975</v>
      </c>
      <c r="G3" s="773"/>
      <c r="H3" s="773"/>
      <c r="I3" s="773"/>
      <c r="J3" s="773"/>
      <c r="K3" s="773"/>
      <c r="L3" s="775"/>
      <c r="M3" s="273"/>
    </row>
    <row r="4" spans="1:13">
      <c r="A4" s="312"/>
      <c r="B4" s="776"/>
      <c r="C4" s="711"/>
      <c r="D4" s="772" t="str">
        <f>'Cover Sheet'!D4</f>
        <v>Period  No</v>
      </c>
      <c r="E4" s="773"/>
      <c r="F4" s="777">
        <f>'Cover Sheet'!F4</f>
        <v>27</v>
      </c>
      <c r="G4" s="773"/>
      <c r="H4" s="778"/>
      <c r="I4" s="773"/>
      <c r="J4" s="779"/>
      <c r="K4" s="773"/>
      <c r="L4" s="775"/>
      <c r="M4" s="273"/>
    </row>
    <row r="5" spans="1:13" ht="17.25" customHeight="1">
      <c r="A5" s="312"/>
      <c r="B5" s="284" t="s">
        <v>155</v>
      </c>
      <c r="C5" s="284"/>
      <c r="D5" s="772" t="str">
        <f>'Cover Sheet'!D5</f>
        <v>Monthly Period</v>
      </c>
      <c r="E5" s="773"/>
      <c r="F5" s="150">
        <f>'Cover Sheet'!F5</f>
        <v>45975</v>
      </c>
      <c r="G5" s="773"/>
      <c r="H5" s="778"/>
      <c r="I5" s="773"/>
      <c r="J5" s="779"/>
      <c r="K5" s="773"/>
      <c r="L5" s="775"/>
      <c r="M5" s="273"/>
    </row>
    <row r="6" spans="1:13" ht="15" customHeight="1">
      <c r="A6" s="312"/>
      <c r="B6" s="780"/>
      <c r="C6" s="781"/>
      <c r="D6" s="772" t="str">
        <f>'Cover Sheet'!D6</f>
        <v>Interest Period</v>
      </c>
      <c r="E6" s="779" t="s">
        <v>34</v>
      </c>
      <c r="F6" s="774">
        <f>'Cover Sheet'!F6</f>
        <v>45944</v>
      </c>
      <c r="G6" s="779" t="str">
        <f>'Cover Sheet'!G6</f>
        <v>to</v>
      </c>
      <c r="H6" s="774">
        <f>'Cover Sheet'!H6</f>
        <v>45975</v>
      </c>
      <c r="I6" s="773" t="str">
        <f>'Cover Sheet'!I6</f>
        <v>=</v>
      </c>
      <c r="J6" s="782" t="str">
        <f>'Cover Sheet'!J6</f>
        <v>31 days</v>
      </c>
      <c r="K6" s="779"/>
      <c r="L6" s="783"/>
      <c r="M6" s="273"/>
    </row>
    <row r="7" spans="1:13" s="274" customFormat="1" ht="12.75" customHeight="1">
      <c r="A7" s="312"/>
      <c r="B7" s="23"/>
      <c r="C7" s="23"/>
      <c r="D7" s="784" t="str">
        <f>'Cover Sheet'!D7</f>
        <v>Collection Period</v>
      </c>
      <c r="E7" s="785" t="s">
        <v>34</v>
      </c>
      <c r="F7" s="786" t="str">
        <f>'Cover Sheet'!F7</f>
        <v>01.10.2025</v>
      </c>
      <c r="G7" s="785" t="str">
        <f>'Cover Sheet'!G7</f>
        <v>to</v>
      </c>
      <c r="H7" s="786">
        <f>'Cover Sheet'!H7</f>
        <v>45961</v>
      </c>
      <c r="I7" s="787"/>
      <c r="J7" s="787"/>
      <c r="K7" s="787"/>
      <c r="L7" s="788"/>
      <c r="M7" s="352"/>
    </row>
    <row r="8" spans="1:13" ht="13">
      <c r="A8" s="312"/>
      <c r="B8" s="23"/>
      <c r="C8" s="23"/>
      <c r="D8" s="23"/>
      <c r="E8" s="23"/>
      <c r="F8" s="789"/>
      <c r="G8" s="5"/>
      <c r="H8" s="708"/>
      <c r="I8" s="23"/>
      <c r="J8" s="709"/>
      <c r="K8" s="23"/>
      <c r="L8" s="85"/>
      <c r="M8" s="273"/>
    </row>
    <row r="9" spans="1:13">
      <c r="A9" s="312"/>
      <c r="B9" s="23"/>
      <c r="C9" s="23"/>
      <c r="D9" s="23"/>
      <c r="E9" s="23"/>
      <c r="F9" s="711"/>
      <c r="G9" s="23"/>
      <c r="H9" s="23"/>
      <c r="I9" s="23"/>
      <c r="J9" s="23"/>
      <c r="K9" s="23"/>
      <c r="L9" s="23"/>
      <c r="M9" s="273"/>
    </row>
    <row r="10" spans="1:13">
      <c r="A10" s="312"/>
      <c r="B10" s="23"/>
      <c r="C10" s="23"/>
      <c r="D10" s="23"/>
      <c r="E10" s="23"/>
      <c r="F10" s="711"/>
      <c r="G10" s="23"/>
      <c r="H10" s="23"/>
      <c r="I10" s="23"/>
      <c r="J10" s="23"/>
      <c r="K10" s="23"/>
      <c r="L10" s="23"/>
      <c r="M10" s="273"/>
    </row>
    <row r="11" spans="1:13" ht="18">
      <c r="A11" s="312"/>
      <c r="B11" s="23"/>
      <c r="C11" s="23"/>
      <c r="D11" s="435" t="s">
        <v>239</v>
      </c>
      <c r="E11" s="23"/>
      <c r="F11" s="711"/>
      <c r="G11" s="23"/>
      <c r="H11" s="997" t="s">
        <v>819</v>
      </c>
      <c r="I11" s="23"/>
      <c r="J11" s="23"/>
      <c r="K11" s="23"/>
      <c r="L11" s="23"/>
      <c r="M11" s="273"/>
    </row>
    <row r="12" spans="1:13" ht="18" customHeight="1">
      <c r="A12" s="312"/>
      <c r="B12" s="23"/>
      <c r="C12" s="23"/>
      <c r="D12" s="23"/>
      <c r="E12" s="23"/>
      <c r="F12" s="5"/>
      <c r="G12" s="790"/>
      <c r="H12" s="790"/>
      <c r="I12" s="790"/>
      <c r="J12" s="790"/>
      <c r="K12" s="790"/>
      <c r="L12" s="5"/>
      <c r="M12" s="273"/>
    </row>
    <row r="13" spans="1:13" ht="14.5">
      <c r="A13" s="312"/>
      <c r="B13" s="791" t="s">
        <v>156</v>
      </c>
      <c r="C13" s="85" t="s">
        <v>157</v>
      </c>
      <c r="D13" s="85" t="s">
        <v>158</v>
      </c>
      <c r="E13" s="85"/>
      <c r="F13" s="85" t="s">
        <v>159</v>
      </c>
      <c r="G13" s="85"/>
      <c r="H13" s="85" t="s">
        <v>12</v>
      </c>
      <c r="I13" s="792"/>
      <c r="J13" s="792"/>
      <c r="K13" s="792"/>
      <c r="L13" s="792"/>
      <c r="M13" s="273"/>
    </row>
    <row r="14" spans="1:13" ht="13">
      <c r="A14" s="312"/>
      <c r="B14" s="791"/>
      <c r="C14" s="85"/>
      <c r="D14" s="85"/>
      <c r="E14" s="85"/>
      <c r="F14" s="85"/>
      <c r="G14" s="85"/>
      <c r="H14" s="85"/>
      <c r="I14" s="790"/>
      <c r="J14" s="790"/>
      <c r="K14" s="790"/>
      <c r="L14" s="790"/>
      <c r="M14" s="273"/>
    </row>
    <row r="15" spans="1:13">
      <c r="A15" s="312"/>
      <c r="B15" s="71" t="s">
        <v>249</v>
      </c>
      <c r="C15" s="793">
        <v>7.2999999999999995E-2</v>
      </c>
      <c r="D15" s="794" t="s">
        <v>35</v>
      </c>
      <c r="E15" s="23"/>
      <c r="F15" s="794" t="s">
        <v>35</v>
      </c>
      <c r="G15" s="5"/>
      <c r="H15" s="167"/>
      <c r="I15" s="790"/>
      <c r="J15" s="790"/>
      <c r="K15" s="790"/>
      <c r="L15" s="790"/>
      <c r="M15" s="273"/>
    </row>
    <row r="16" spans="1:13">
      <c r="A16" s="312"/>
      <c r="B16" s="23"/>
      <c r="C16" s="23"/>
      <c r="D16" s="23"/>
      <c r="E16" s="23"/>
      <c r="F16" s="23"/>
      <c r="G16" s="23"/>
      <c r="H16" s="23"/>
      <c r="I16" s="23"/>
      <c r="J16" s="23"/>
      <c r="K16" s="23"/>
      <c r="L16" s="23"/>
      <c r="M16" s="273"/>
    </row>
    <row r="17" spans="1:13">
      <c r="A17" s="312"/>
      <c r="B17" s="795" t="s">
        <v>250</v>
      </c>
      <c r="C17" s="796" t="s">
        <v>35</v>
      </c>
      <c r="D17" s="908">
        <v>200000</v>
      </c>
      <c r="E17" s="905"/>
      <c r="F17" s="794" t="s">
        <v>35</v>
      </c>
      <c r="G17" s="790"/>
      <c r="H17" s="167"/>
      <c r="I17" s="790"/>
      <c r="J17" s="790"/>
      <c r="K17" s="790"/>
      <c r="L17" s="790"/>
      <c r="M17" s="273"/>
    </row>
    <row r="18" spans="1:13">
      <c r="A18" s="312"/>
      <c r="B18" s="798"/>
      <c r="C18" s="796"/>
      <c r="D18" s="799"/>
      <c r="E18" s="790"/>
      <c r="F18" s="978"/>
      <c r="G18" s="790"/>
      <c r="H18" s="790"/>
      <c r="I18" s="790"/>
      <c r="J18" s="790"/>
      <c r="K18" s="790"/>
      <c r="L18" s="790"/>
      <c r="M18" s="273"/>
    </row>
    <row r="19" spans="1:13">
      <c r="A19" s="312"/>
      <c r="B19" s="798" t="s">
        <v>66</v>
      </c>
      <c r="C19" s="796"/>
      <c r="D19" s="800">
        <v>85</v>
      </c>
      <c r="E19" s="790"/>
      <c r="F19" s="794" t="s">
        <v>35</v>
      </c>
      <c r="G19" s="790"/>
      <c r="H19" s="167"/>
      <c r="I19" s="790"/>
      <c r="J19" s="790"/>
      <c r="K19" s="790"/>
      <c r="L19" s="790"/>
      <c r="M19" s="273"/>
    </row>
    <row r="20" spans="1:13">
      <c r="A20" s="312"/>
      <c r="B20" s="798"/>
      <c r="C20" s="796"/>
      <c r="D20" s="799"/>
      <c r="E20" s="790"/>
      <c r="F20" s="790"/>
      <c r="G20" s="790"/>
      <c r="H20" s="790"/>
      <c r="I20" s="790"/>
      <c r="J20" s="790"/>
      <c r="K20" s="790"/>
      <c r="L20" s="790"/>
      <c r="M20" s="273"/>
    </row>
    <row r="21" spans="1:13" ht="13">
      <c r="A21" s="312"/>
      <c r="B21" s="791"/>
      <c r="C21" s="23"/>
      <c r="D21" s="85" t="s">
        <v>158</v>
      </c>
      <c r="E21" s="85"/>
      <c r="F21" s="85" t="s">
        <v>159</v>
      </c>
      <c r="G21" s="85"/>
      <c r="H21" s="85" t="s">
        <v>12</v>
      </c>
      <c r="I21" s="790"/>
      <c r="J21" s="790"/>
      <c r="K21" s="790"/>
      <c r="L21" s="790"/>
      <c r="M21" s="273"/>
    </row>
    <row r="22" spans="1:13">
      <c r="A22" s="312"/>
      <c r="B22" s="798"/>
      <c r="C22" s="796"/>
      <c r="D22" s="799"/>
      <c r="E22" s="790"/>
      <c r="F22" s="790"/>
      <c r="G22" s="790"/>
      <c r="H22" s="790"/>
      <c r="I22" s="790"/>
      <c r="J22" s="790"/>
      <c r="K22" s="790"/>
      <c r="L22" s="790"/>
      <c r="M22" s="273"/>
    </row>
    <row r="23" spans="1:13">
      <c r="A23" s="312"/>
      <c r="B23" s="795"/>
      <c r="C23" s="796"/>
      <c r="D23" s="801"/>
      <c r="E23" s="790"/>
      <c r="F23" s="802"/>
      <c r="G23" s="790"/>
      <c r="H23" s="167"/>
      <c r="I23" s="790"/>
      <c r="J23" s="790"/>
      <c r="K23" s="790"/>
      <c r="L23" s="790"/>
      <c r="M23" s="273"/>
    </row>
    <row r="24" spans="1:13" ht="13">
      <c r="A24" s="312"/>
      <c r="B24" s="22" t="s">
        <v>160</v>
      </c>
      <c r="C24" s="796"/>
      <c r="D24" s="799"/>
      <c r="E24" s="790"/>
      <c r="F24" s="790"/>
      <c r="G24" s="790"/>
      <c r="H24" s="167"/>
      <c r="I24" s="790"/>
      <c r="J24" s="790"/>
      <c r="K24" s="790"/>
      <c r="L24" s="790"/>
      <c r="M24" s="273"/>
    </row>
    <row r="25" spans="1:13" ht="13">
      <c r="A25" s="312"/>
      <c r="B25" s="798" t="s">
        <v>161</v>
      </c>
      <c r="C25" s="803"/>
      <c r="D25" s="908">
        <v>78320000</v>
      </c>
      <c r="E25" s="979"/>
      <c r="F25" s="794" t="s">
        <v>35</v>
      </c>
      <c r="G25" s="805"/>
      <c r="H25" s="804"/>
      <c r="I25" s="804"/>
      <c r="J25" s="804"/>
      <c r="K25" s="804"/>
      <c r="L25" s="790"/>
      <c r="M25" s="273"/>
    </row>
    <row r="26" spans="1:13">
      <c r="A26" s="312"/>
      <c r="B26" s="798" t="s">
        <v>162</v>
      </c>
      <c r="C26" s="796"/>
      <c r="D26" s="908">
        <v>78320000</v>
      </c>
      <c r="E26" s="980"/>
      <c r="F26" s="794" t="s">
        <v>35</v>
      </c>
      <c r="G26" s="790"/>
      <c r="H26" s="23"/>
      <c r="I26" s="790"/>
      <c r="J26" s="790"/>
      <c r="K26" s="790"/>
      <c r="L26" s="790"/>
      <c r="M26" s="273"/>
    </row>
    <row r="27" spans="1:13">
      <c r="A27" s="312"/>
      <c r="B27" s="798" t="s">
        <v>163</v>
      </c>
      <c r="C27" s="796"/>
      <c r="D27" s="908">
        <v>78320000</v>
      </c>
      <c r="E27" s="980"/>
      <c r="F27" s="794" t="s">
        <v>35</v>
      </c>
      <c r="G27" s="790"/>
      <c r="H27" s="790"/>
      <c r="I27" s="790"/>
      <c r="J27" s="790"/>
      <c r="K27" s="790"/>
      <c r="L27" s="790"/>
      <c r="M27" s="273"/>
    </row>
    <row r="28" spans="1:13">
      <c r="A28" s="312"/>
      <c r="B28" s="798"/>
      <c r="C28" s="796"/>
      <c r="D28" s="790"/>
      <c r="E28" s="790"/>
      <c r="F28" s="790"/>
      <c r="G28" s="790"/>
      <c r="H28" s="790"/>
      <c r="I28" s="790"/>
      <c r="J28" s="790"/>
      <c r="K28" s="790"/>
      <c r="L28" s="790"/>
      <c r="M28" s="273"/>
    </row>
    <row r="29" spans="1:13" ht="13">
      <c r="A29" s="312"/>
      <c r="B29" s="22" t="s">
        <v>252</v>
      </c>
      <c r="C29" s="796"/>
      <c r="D29" s="790"/>
      <c r="E29" s="790"/>
      <c r="F29" s="797"/>
      <c r="G29" s="790"/>
      <c r="H29" s="167" t="s">
        <v>43</v>
      </c>
      <c r="I29" s="790"/>
      <c r="J29" s="790"/>
      <c r="K29" s="790"/>
      <c r="L29" s="790"/>
      <c r="M29" s="273"/>
    </row>
    <row r="30" spans="1:13">
      <c r="A30" s="312"/>
      <c r="B30" s="23"/>
      <c r="C30" s="796"/>
      <c r="D30" s="790"/>
      <c r="E30" s="790"/>
      <c r="F30" s="797"/>
      <c r="G30" s="790"/>
      <c r="H30" s="167"/>
      <c r="I30" s="790"/>
      <c r="J30" s="790"/>
      <c r="K30" s="790"/>
      <c r="L30" s="790"/>
      <c r="M30" s="273"/>
    </row>
    <row r="31" spans="1:13" ht="13">
      <c r="A31" s="312"/>
      <c r="B31" s="22" t="s">
        <v>291</v>
      </c>
      <c r="C31" s="796"/>
      <c r="D31" s="790"/>
      <c r="E31" s="790"/>
      <c r="F31" s="797"/>
      <c r="G31" s="790"/>
      <c r="H31" s="167" t="s">
        <v>43</v>
      </c>
      <c r="I31" s="790"/>
      <c r="J31" s="790"/>
      <c r="K31" s="790"/>
      <c r="L31" s="790"/>
      <c r="M31" s="273"/>
    </row>
    <row r="32" spans="1:13">
      <c r="A32" s="312"/>
      <c r="B32" s="23"/>
      <c r="C32" s="796"/>
      <c r="D32" s="790"/>
      <c r="E32" s="790"/>
      <c r="F32" s="797"/>
      <c r="G32" s="790"/>
      <c r="H32" s="167"/>
      <c r="I32" s="790"/>
      <c r="J32" s="790"/>
      <c r="K32" s="790"/>
      <c r="L32" s="790"/>
      <c r="M32" s="273"/>
    </row>
    <row r="33" spans="1:13" ht="13">
      <c r="A33" s="312"/>
      <c r="B33" s="103" t="s">
        <v>292</v>
      </c>
      <c r="C33" s="796"/>
      <c r="E33" s="790"/>
      <c r="F33" s="790"/>
      <c r="G33" s="790"/>
      <c r="H33" s="167" t="s">
        <v>1038</v>
      </c>
      <c r="I33" s="790"/>
      <c r="J33" s="790"/>
      <c r="K33" s="790"/>
      <c r="L33" s="790"/>
      <c r="M33" s="273"/>
    </row>
    <row r="34" spans="1:13" ht="13">
      <c r="A34" s="312"/>
      <c r="B34" s="798" t="s">
        <v>251</v>
      </c>
      <c r="C34" s="796"/>
      <c r="D34" s="85" t="s">
        <v>158</v>
      </c>
      <c r="E34" s="790"/>
      <c r="F34" s="1024">
        <v>45869</v>
      </c>
      <c r="G34" s="790"/>
      <c r="H34" s="790"/>
      <c r="I34" s="790"/>
      <c r="J34" s="790"/>
      <c r="K34" s="790"/>
      <c r="L34" s="790"/>
      <c r="M34" s="273"/>
    </row>
    <row r="35" spans="1:13">
      <c r="A35" s="312"/>
      <c r="B35" s="795" t="s">
        <v>582</v>
      </c>
      <c r="C35" s="796"/>
      <c r="D35" s="801">
        <v>3.5000000000000003E-2</v>
      </c>
      <c r="E35" s="790"/>
      <c r="F35" s="1023">
        <v>3.5799999999999998E-2</v>
      </c>
      <c r="G35" s="790"/>
      <c r="H35" s="167"/>
      <c r="I35" s="790"/>
      <c r="J35" s="790"/>
      <c r="K35" s="790"/>
      <c r="L35" s="790"/>
      <c r="M35" s="273"/>
    </row>
    <row r="36" spans="1:13">
      <c r="A36" s="312"/>
      <c r="C36" s="796"/>
      <c r="D36" s="801"/>
      <c r="E36" s="790"/>
      <c r="F36" s="1023"/>
      <c r="G36" s="790"/>
      <c r="H36" s="167"/>
      <c r="I36" s="790"/>
      <c r="J36" s="790"/>
      <c r="K36" s="790"/>
      <c r="L36" s="790"/>
      <c r="M36" s="273"/>
    </row>
    <row r="37" spans="1:13" ht="13">
      <c r="A37" s="312"/>
      <c r="B37" s="1042" t="s">
        <v>1039</v>
      </c>
      <c r="C37" s="796"/>
      <c r="E37" s="790"/>
      <c r="F37" s="1025">
        <f>EOMONTH(F2,-1)</f>
        <v>45961</v>
      </c>
      <c r="G37" s="790"/>
      <c r="H37" s="167"/>
      <c r="I37" s="790"/>
      <c r="J37" s="790"/>
      <c r="K37" s="790"/>
      <c r="L37" s="790"/>
      <c r="M37" s="273"/>
    </row>
    <row r="38" spans="1:13">
      <c r="A38" s="312"/>
      <c r="B38" s="1042"/>
      <c r="C38" s="796"/>
      <c r="D38" s="801"/>
      <c r="E38" s="790"/>
      <c r="F38" s="1023">
        <f>VLOOKUP(F4,'3.3 Defaults &amp; Recoveries p.p.'!B20:K100,10,FALSE)</f>
        <v>4.2888637130896107E-2</v>
      </c>
      <c r="G38" s="790"/>
      <c r="H38" s="167"/>
      <c r="I38" s="790"/>
      <c r="J38" s="790"/>
      <c r="K38" s="790"/>
      <c r="L38" s="790"/>
      <c r="M38" s="273"/>
    </row>
    <row r="39" spans="1:13">
      <c r="A39" s="312"/>
      <c r="B39" s="795"/>
      <c r="C39" s="796"/>
      <c r="D39" s="801"/>
      <c r="E39" s="790"/>
      <c r="F39" s="92"/>
      <c r="G39" s="790"/>
      <c r="H39" s="167"/>
      <c r="I39" s="790"/>
      <c r="J39" s="790"/>
      <c r="K39" s="790"/>
      <c r="L39" s="790"/>
      <c r="M39" s="273"/>
    </row>
    <row r="40" spans="1:13" ht="15.5" customHeight="1">
      <c r="A40" s="312"/>
      <c r="B40" s="798" t="s">
        <v>442</v>
      </c>
      <c r="C40" s="806"/>
      <c r="D40" s="981">
        <v>16000000</v>
      </c>
      <c r="E40" s="79"/>
      <c r="F40" s="981">
        <f>'3.2 Default Data'!F68+'3.2 Default Data'!F74</f>
        <v>5064836.18</v>
      </c>
      <c r="G40" s="79"/>
      <c r="H40" s="167"/>
      <c r="I40" s="790"/>
      <c r="J40" s="790"/>
      <c r="K40" s="790"/>
      <c r="L40" s="790"/>
      <c r="M40" s="273"/>
    </row>
    <row r="41" spans="1:13" ht="29" customHeight="1">
      <c r="A41" s="312"/>
      <c r="B41" s="808" t="s">
        <v>446</v>
      </c>
      <c r="C41" s="809">
        <v>0.1</v>
      </c>
      <c r="D41" s="801"/>
      <c r="E41" s="790"/>
      <c r="F41" s="802">
        <f>'1. Portfolio Information'!F28/'1.1 Portfolio Information p.p.'!C15</f>
        <v>0.61580390471928004</v>
      </c>
      <c r="G41" s="790"/>
      <c r="H41" s="167"/>
      <c r="I41" s="790"/>
      <c r="J41" s="790"/>
      <c r="K41" s="790"/>
      <c r="L41" s="790"/>
      <c r="M41" s="273"/>
    </row>
    <row r="42" spans="1:13" ht="15" customHeight="1">
      <c r="A42" s="312"/>
      <c r="B42" s="795" t="s">
        <v>447</v>
      </c>
      <c r="C42" s="809"/>
      <c r="D42" s="801">
        <v>4.1999999999999997E-3</v>
      </c>
      <c r="E42" s="790"/>
      <c r="F42" s="1001">
        <f>'3.3 Defaults &amp; Recoveries p.p.'!L17</f>
        <v>4.6849518840588042E-3</v>
      </c>
      <c r="G42" s="790"/>
      <c r="H42" s="167"/>
      <c r="I42" s="790"/>
      <c r="J42" s="790"/>
      <c r="K42" s="790"/>
      <c r="L42" s="790"/>
      <c r="M42" s="273"/>
    </row>
    <row r="43" spans="1:13">
      <c r="A43" s="312"/>
      <c r="B43" s="795" t="s">
        <v>436</v>
      </c>
      <c r="C43" s="796"/>
      <c r="D43" s="801"/>
      <c r="E43" s="790"/>
      <c r="F43" s="802"/>
      <c r="G43" s="790"/>
      <c r="H43" s="167"/>
      <c r="I43" s="790"/>
      <c r="J43" s="790"/>
      <c r="K43" s="790"/>
      <c r="L43" s="790"/>
      <c r="M43" s="273"/>
    </row>
    <row r="44" spans="1:13">
      <c r="A44" s="312"/>
      <c r="B44" s="999" t="s">
        <v>312</v>
      </c>
      <c r="C44" s="796"/>
      <c r="D44" s="790"/>
      <c r="E44" s="790"/>
      <c r="F44" s="790"/>
      <c r="G44" s="790"/>
      <c r="H44" s="167"/>
      <c r="I44" s="790"/>
      <c r="J44" s="790"/>
      <c r="K44" s="790"/>
      <c r="L44" s="790"/>
      <c r="M44" s="273"/>
    </row>
    <row r="45" spans="1:13">
      <c r="A45" s="312"/>
      <c r="B45" s="798" t="s">
        <v>314</v>
      </c>
      <c r="C45" s="796"/>
      <c r="D45" s="790"/>
      <c r="E45" s="790"/>
      <c r="F45" s="790"/>
      <c r="G45" s="790"/>
      <c r="H45" s="167"/>
      <c r="I45" s="790"/>
      <c r="J45" s="790"/>
      <c r="K45" s="790"/>
      <c r="L45" s="790"/>
      <c r="M45" s="273"/>
    </row>
    <row r="46" spans="1:13">
      <c r="A46" s="312"/>
      <c r="B46" s="798"/>
      <c r="C46" s="796"/>
      <c r="D46" s="790"/>
      <c r="E46" s="790"/>
      <c r="F46" s="790"/>
      <c r="G46" s="790"/>
      <c r="H46" s="790"/>
      <c r="I46" s="790"/>
      <c r="J46" s="790"/>
      <c r="K46" s="790"/>
      <c r="L46" s="790"/>
      <c r="M46" s="273"/>
    </row>
    <row r="47" spans="1:13" ht="13">
      <c r="A47" s="312"/>
      <c r="B47" s="22" t="s">
        <v>313</v>
      </c>
      <c r="C47" s="22"/>
      <c r="D47" s="810"/>
      <c r="E47" s="22"/>
      <c r="F47" s="811"/>
      <c r="G47" s="22"/>
      <c r="H47" s="167"/>
      <c r="I47" s="790"/>
      <c r="J47" s="790"/>
      <c r="K47" s="790"/>
      <c r="L47" s="790"/>
      <c r="M47" s="273"/>
    </row>
    <row r="48" spans="1:13" ht="13">
      <c r="A48" s="266"/>
      <c r="B48" s="798" t="s">
        <v>251</v>
      </c>
      <c r="C48" s="796"/>
      <c r="D48" s="23"/>
      <c r="E48" s="790"/>
      <c r="F48" s="790"/>
      <c r="G48" s="790"/>
      <c r="H48" s="790"/>
      <c r="I48" s="23"/>
      <c r="J48" s="812"/>
      <c r="K48" s="23"/>
      <c r="L48" s="813"/>
      <c r="M48" s="273"/>
    </row>
    <row r="49" spans="1:13">
      <c r="A49" s="266"/>
      <c r="B49" s="795" t="s">
        <v>583</v>
      </c>
      <c r="C49" s="796"/>
      <c r="D49" s="801">
        <v>0.02</v>
      </c>
      <c r="E49" s="790"/>
      <c r="F49" s="998" t="s">
        <v>35</v>
      </c>
      <c r="G49" s="790"/>
      <c r="H49" s="167"/>
      <c r="I49" s="23"/>
      <c r="J49" s="23"/>
      <c r="K49" s="23"/>
      <c r="L49" s="23"/>
      <c r="M49" s="273"/>
    </row>
    <row r="50" spans="1:13">
      <c r="A50" s="266"/>
      <c r="B50" s="814" t="s">
        <v>160</v>
      </c>
      <c r="C50" s="5"/>
      <c r="D50" s="815"/>
      <c r="E50" s="23"/>
      <c r="F50" s="816"/>
      <c r="G50" s="23"/>
      <c r="H50" s="167"/>
      <c r="I50" s="23"/>
      <c r="J50" s="23"/>
      <c r="K50" s="23"/>
      <c r="L50" s="23"/>
      <c r="M50" s="273"/>
    </row>
    <row r="51" spans="1:13" ht="13">
      <c r="A51" s="266"/>
      <c r="B51" s="23" t="s">
        <v>314</v>
      </c>
      <c r="C51" s="22"/>
      <c r="D51" s="810"/>
      <c r="E51" s="22"/>
      <c r="F51" s="811"/>
      <c r="G51" s="22"/>
      <c r="H51" s="167"/>
      <c r="I51" s="23"/>
      <c r="J51" s="812"/>
      <c r="K51" s="23"/>
      <c r="L51" s="812"/>
      <c r="M51" s="273"/>
    </row>
    <row r="52" spans="1:13" ht="13">
      <c r="A52" s="266"/>
      <c r="B52" s="23" t="s">
        <v>291</v>
      </c>
      <c r="C52" s="23"/>
      <c r="D52" s="23"/>
      <c r="E52" s="23"/>
      <c r="F52" s="23"/>
      <c r="G52" s="23"/>
      <c r="H52" s="5"/>
      <c r="I52" s="23"/>
      <c r="J52" s="812"/>
      <c r="K52" s="23"/>
      <c r="L52" s="812"/>
      <c r="M52" s="273"/>
    </row>
    <row r="53" spans="1:13" ht="13">
      <c r="A53" s="266"/>
      <c r="B53" s="23" t="s">
        <v>591</v>
      </c>
      <c r="C53" s="23"/>
      <c r="D53" s="807"/>
      <c r="E53" s="79"/>
      <c r="F53" s="807"/>
      <c r="G53" s="79"/>
      <c r="H53" s="167"/>
      <c r="I53" s="23"/>
      <c r="J53" s="817"/>
      <c r="K53" s="23"/>
      <c r="L53" s="817"/>
      <c r="M53" s="273"/>
    </row>
    <row r="54" spans="1:13" ht="13">
      <c r="A54" s="266"/>
      <c r="B54" s="798" t="s">
        <v>162</v>
      </c>
      <c r="C54" s="23"/>
      <c r="D54" s="1040">
        <v>2.5000000000000001E-3</v>
      </c>
      <c r="E54" s="23"/>
      <c r="F54" s="998" t="s">
        <v>35</v>
      </c>
      <c r="G54" s="23"/>
      <c r="H54" s="1041"/>
      <c r="I54" s="23"/>
      <c r="J54" s="818"/>
      <c r="K54" s="23"/>
      <c r="L54" s="711"/>
      <c r="M54" s="273"/>
    </row>
    <row r="55" spans="1:13">
      <c r="A55" s="266"/>
      <c r="B55" s="798" t="s">
        <v>163</v>
      </c>
      <c r="C55" s="23"/>
      <c r="D55" s="1041"/>
      <c r="E55" s="23"/>
      <c r="F55" s="998" t="s">
        <v>35</v>
      </c>
      <c r="G55" s="23"/>
      <c r="H55" s="1041"/>
      <c r="I55" s="23"/>
      <c r="J55" s="23"/>
      <c r="K55" s="23"/>
      <c r="L55" s="23"/>
      <c r="M55" s="273"/>
    </row>
    <row r="56" spans="1:13">
      <c r="A56" s="266"/>
      <c r="D56" s="127"/>
      <c r="F56" s="127"/>
      <c r="H56" s="23"/>
      <c r="I56" s="23"/>
      <c r="J56" s="23"/>
      <c r="K56" s="23"/>
      <c r="L56" s="23"/>
      <c r="M56" s="273"/>
    </row>
    <row r="57" spans="1:13" ht="18" customHeight="1">
      <c r="A57" s="266"/>
      <c r="B57" s="267"/>
      <c r="D57" s="127"/>
      <c r="F57" s="127"/>
      <c r="H57" s="23"/>
      <c r="I57" s="23"/>
      <c r="J57" s="23"/>
      <c r="K57" s="23"/>
      <c r="L57" s="23"/>
      <c r="M57" s="273"/>
    </row>
    <row r="58" spans="1:13" ht="12.75" customHeight="1">
      <c r="A58" s="266"/>
      <c r="D58" s="819"/>
      <c r="F58" s="127"/>
      <c r="H58" s="23"/>
      <c r="I58" s="23"/>
      <c r="J58" s="23"/>
      <c r="K58" s="23"/>
      <c r="L58" s="23"/>
      <c r="M58" s="273"/>
    </row>
    <row r="59" spans="1:13" ht="12.75" customHeight="1">
      <c r="A59" s="266"/>
      <c r="D59" s="819"/>
      <c r="F59" s="127"/>
      <c r="H59" s="23"/>
      <c r="I59" s="23"/>
      <c r="J59" s="23"/>
      <c r="K59" s="23"/>
      <c r="L59" s="23"/>
      <c r="M59" s="273"/>
    </row>
    <row r="60" spans="1:13">
      <c r="A60" s="266"/>
      <c r="D60" s="820"/>
      <c r="F60" s="127"/>
      <c r="H60" s="23"/>
      <c r="I60" s="23"/>
      <c r="J60" s="23"/>
      <c r="K60" s="23"/>
      <c r="L60" s="23"/>
      <c r="M60" s="273"/>
    </row>
    <row r="61" spans="1:13" ht="5.25" customHeight="1">
      <c r="A61" s="266"/>
      <c r="D61" s="821"/>
      <c r="F61" s="127"/>
      <c r="H61" s="23"/>
      <c r="I61" s="23"/>
      <c r="J61" s="23"/>
      <c r="K61" s="23"/>
      <c r="L61" s="23"/>
      <c r="M61" s="273"/>
    </row>
    <row r="62" spans="1:13">
      <c r="A62" s="266"/>
      <c r="B62" s="822" t="s">
        <v>548</v>
      </c>
      <c r="D62" s="821"/>
      <c r="F62" s="127"/>
      <c r="H62" s="23"/>
      <c r="I62" s="23"/>
      <c r="J62" s="23"/>
      <c r="K62" s="23"/>
      <c r="L62" s="23"/>
      <c r="M62" s="273"/>
    </row>
    <row r="63" spans="1:13">
      <c r="A63" s="372"/>
      <c r="B63" s="38"/>
      <c r="C63" s="823"/>
      <c r="D63" s="824"/>
      <c r="E63" s="824"/>
      <c r="F63" s="824"/>
      <c r="G63" s="824"/>
      <c r="H63" s="824"/>
      <c r="I63" s="824"/>
      <c r="J63" s="824"/>
      <c r="K63" s="824"/>
      <c r="L63" s="824"/>
      <c r="M63" s="344"/>
    </row>
    <row r="64" spans="1:13">
      <c r="D64" s="821"/>
      <c r="F64" s="127"/>
      <c r="H64" s="23"/>
      <c r="I64" s="23"/>
      <c r="J64" s="23"/>
      <c r="K64" s="23"/>
      <c r="L64" s="23"/>
    </row>
    <row r="65" spans="3:12">
      <c r="D65" s="821"/>
      <c r="F65" s="127"/>
      <c r="H65" s="23"/>
      <c r="I65" s="23"/>
      <c r="J65" s="23"/>
      <c r="K65" s="23"/>
      <c r="L65" s="23"/>
    </row>
    <row r="66" spans="3:12">
      <c r="D66" s="821"/>
      <c r="F66" s="127"/>
      <c r="H66" s="23"/>
      <c r="I66" s="23"/>
      <c r="J66" s="23"/>
      <c r="K66" s="23"/>
      <c r="L66" s="23"/>
    </row>
    <row r="67" spans="3:12">
      <c r="D67" s="825"/>
      <c r="F67" s="127"/>
      <c r="H67" s="23"/>
      <c r="I67" s="23"/>
      <c r="J67" s="23"/>
      <c r="K67" s="23"/>
      <c r="L67" s="23"/>
    </row>
    <row r="68" spans="3:12">
      <c r="D68" s="825"/>
      <c r="F68" s="127"/>
      <c r="H68" s="23"/>
      <c r="I68" s="23"/>
      <c r="J68" s="23"/>
      <c r="K68" s="23"/>
      <c r="L68" s="23"/>
    </row>
    <row r="69" spans="3:12">
      <c r="D69" s="821"/>
      <c r="H69" s="23"/>
      <c r="I69" s="23"/>
      <c r="J69" s="23"/>
      <c r="K69" s="23"/>
      <c r="L69" s="23"/>
    </row>
    <row r="70" spans="3:12">
      <c r="D70" s="821"/>
      <c r="H70" s="23"/>
      <c r="I70" s="23"/>
      <c r="J70" s="23"/>
      <c r="K70" s="23"/>
      <c r="L70" s="23"/>
    </row>
    <row r="71" spans="3:12" ht="12.75" customHeight="1">
      <c r="D71" s="127"/>
    </row>
    <row r="73" spans="3:12">
      <c r="H73" s="297"/>
    </row>
    <row r="74" spans="3:12">
      <c r="H74" s="297"/>
    </row>
    <row r="76" spans="3:12">
      <c r="C76" s="826"/>
      <c r="D76" s="827"/>
      <c r="F76" s="827"/>
      <c r="H76" s="297"/>
    </row>
    <row r="77" spans="3:12">
      <c r="C77" s="826"/>
      <c r="D77" s="827"/>
      <c r="F77" s="827"/>
    </row>
    <row r="79" spans="3:12">
      <c r="C79" s="826"/>
      <c r="D79" s="826"/>
      <c r="E79" s="826"/>
      <c r="F79" s="826"/>
    </row>
    <row r="81" spans="2:2">
      <c r="B81" s="23"/>
    </row>
    <row r="82" spans="2:2">
      <c r="B82" s="23"/>
    </row>
    <row r="83" spans="2:2">
      <c r="B83" s="23"/>
    </row>
  </sheetData>
  <mergeCells count="3">
    <mergeCell ref="D54:D55"/>
    <mergeCell ref="H54:H55"/>
    <mergeCell ref="B37:B38"/>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32 H34:H45">
    <cfRule type="cellIs" dxfId="2" priority="5" stopIfTrue="1" operator="equal">
      <formula>"yes"</formula>
    </cfRule>
  </conditionalFormatting>
  <conditionalFormatting sqref="H47:H51">
    <cfRule type="cellIs" dxfId="1" priority="7" stopIfTrue="1" operator="equal">
      <formula>"yes"</formula>
    </cfRule>
  </conditionalFormatting>
  <conditionalFormatting sqref="H53">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7"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00b41a29ec8a1b50f8972f353ae1977c">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21aa4b2dc0cc3131b063e12a797b42e6"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25D5C051-1513-46A5-B5D2-5F3266628282}"/>
</file>

<file path=customXml/itemProps2.xml><?xml version="1.0" encoding="utf-8"?>
<ds:datastoreItem xmlns:ds="http://schemas.openxmlformats.org/officeDocument/2006/customXml" ds:itemID="{A6CB98F1-04B9-419B-BA65-29CFA854EBB8}">
  <ds:schemaRefs>
    <ds:schemaRef ds:uri="http://schemas.microsoft.com/sharepoint/v3/contenttype/forms"/>
  </ds:schemaRefs>
</ds:datastoreItem>
</file>

<file path=customXml/itemProps3.xml><?xml version="1.0" encoding="utf-8"?>
<ds:datastoreItem xmlns:ds="http://schemas.openxmlformats.org/officeDocument/2006/customXml" ds:itemID="{E09D8F00-66E5-4435-82EB-E566B880D1DF}">
  <ds:schemaRefs>
    <ds:schemaRef ds:uri="http://purl.org/dc/elements/1.1/"/>
    <ds:schemaRef ds:uri="http://schemas.microsoft.com/office/2006/metadata/properties"/>
    <ds:schemaRef ds:uri="http://purl.org/dc/terms/"/>
    <ds:schemaRef ds:uri="68fc8b58-9c08-4d09-91a0-3a5ee18f7179"/>
    <ds:schemaRef ds:uri="http://schemas.microsoft.com/office/infopath/2007/PartnerControls"/>
    <ds:schemaRef ds:uri="http://schemas.microsoft.com/office/2006/documentManagement/types"/>
    <ds:schemaRef ds:uri="http://schemas.openxmlformats.org/package/2006/metadata/core-properties"/>
    <ds:schemaRef ds:uri="53f61474-2a0e-4f92-a2ee-dae8dd733a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2023-11-21T13:30:19Z</dcterms:created>
  <dcterms:modified xsi:type="dcterms:W3CDTF">2025-11-11T10:03:16Z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2023-11-21T13:30:30Z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9d0053a2-7bad-4af8-b7bc-2dec7eca0b13</vt:lpwstr>
  </property>
  <property fmtid="{D5CDD505-2E9C-101B-9397-08002B2CF9AE}" pid="8" name="MSIP_Label_0c2abd79-57a9-4473-8700-c843f76a1e37_ContentBits">
    <vt:lpwstr>0</vt:lpwstr>
  </property>
  <property fmtid="{D5CDD505-2E9C-101B-9397-08002B2CF9AE}" pid="9" name="ContentTypeId">
    <vt:lpwstr>0x01010026FB88C6EFD6C84A827CB91382B26CA5</vt:lpwstr>
  </property>
  <property fmtid="{D5CDD505-2E9C-101B-9397-08002B2CF9AE}" pid="10" name="Order">
    <vt:r8>4456400</vt:r8>
  </property>
  <property fmtid="{D5CDD505-2E9C-101B-9397-08002B2CF9AE}" pid="11" name="MediaServiceImageTags">
    <vt:lpwstr/>
  </property>
</Properties>
</file>