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0" documentId="13_ncr:1_{5B832689-C018-42DD-AE84-2B95B9CC5A8B}" xr6:coauthVersionLast="47" xr6:coauthVersionMax="47" xr10:uidLastSave="{00000000-0000-0000-0000-000000000000}"/>
  <bookViews>
    <workbookView xWindow="28680" yWindow="-120" windowWidth="29040" windowHeight="1572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Daten" sheetId="98" state="hidden" r:id="rId38"/>
    <sheet name="calc_data" sheetId="93" state="hidden" r:id="rId39"/>
    <sheet name="delinquency" sheetId="94" state="hidden" r:id="rId40"/>
    <sheet name="default" sheetId="95" state="hidden" r:id="rId41"/>
    <sheet name="portfolio" sheetId="96" state="hidden" r:id="rId42"/>
    <sheet name="rating" sheetId="99" state="hidden" r:id="rId43"/>
  </sheets>
  <definedNames>
    <definedName name="Assets_Daten">Daten!$B:$E</definedName>
    <definedName name="calc_data">calc_data!$A$1:$H$235</definedName>
    <definedName name="calcdata">calc_data!$B:$E</definedName>
    <definedName name="Counterparties">'21. Counterparties'!$B$2</definedName>
    <definedName name="daten">Daten!$A$1:$D$349</definedName>
    <definedName name="default">default!$A$1:$K$81</definedName>
    <definedName name="defaults">default!$B:$K</definedName>
    <definedName name="delinquencies">delinquency!$B:$K</definedName>
    <definedName name="delinquency">delinquency!$A$1:$K$81</definedName>
    <definedName name="_xlnm.Print_Area" localSheetId="2">'1. Portfolio Information'!$A$1:$K$51</definedName>
    <definedName name="_xlnm.Print_Area" localSheetId="3">'1.1 Portfolio Information p.p.'!$A$1:$K$97</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Costs'!$A$1:$T$72</definedName>
    <definedName name="_xlnm.Print_Area" localSheetId="4">'2. Reserve Accounts'!$A$1:$K$46</definedName>
    <definedName name="_xlnm.Print_Area" localSheetId="31">'20. Retention'!$A$1:$K$24</definedName>
    <definedName name="_xlnm.Print_Area" localSheetId="32">'21. Counterparties'!$A$1:$P$74</definedName>
    <definedName name="_xlnm.Print_Area" localSheetId="33">'22. Issuer Information'!$A$1:$K$41</definedName>
    <definedName name="_xlnm.Print_Area" localSheetId="34">'23. Swap Counterparty Data'!$A$1:$Q$41</definedName>
    <definedName name="_xlnm.Print_Area" localSheetId="35">'24. Santander Consumer Bank'!$A$1:$O$36</definedName>
    <definedName name="_xlnm.Print_Area" localSheetId="36">'25. Glossary'!$A$1:$N$49</definedName>
    <definedName name="_xlnm.Print_Area" localSheetId="5">'3.1 Delinquency Data'!$A$1:$M$102</definedName>
    <definedName name="_xlnm.Print_Area" localSheetId="6">'3.2 Default Data'!$A$1:$M$70</definedName>
    <definedName name="_xlnm.Print_Area" localSheetId="7">'3.3 Defaults &amp; Recoveries p.p.'!$A$1:$M$101</definedName>
    <definedName name="_xlnm.Print_Area" localSheetId="8">'4. Concentration Limits'!$A$1:$M$66</definedName>
    <definedName name="_xlnm.Print_Area" localSheetId="9">'5. Outstanding Notes'!$A$1:$R$55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Sheet'!$A$1:$K$52</definedName>
    <definedName name="Notes">'5. Outstanding Notes'!$B$2</definedName>
    <definedName name="portfolio">portfolio!$A$1:$G$17</definedName>
    <definedName name="portfolio_p.p">portfolio!$B:$G</definedName>
    <definedName name="rating">rating!$A$1:$S$22</definedName>
    <definedName name="ratings">rating!$B:$Z</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2" l="1"/>
  <c r="E2" i="82"/>
  <c r="B2" i="82"/>
  <c r="B36" i="72"/>
  <c r="I32" i="72"/>
  <c r="H32" i="72"/>
  <c r="G32" i="72"/>
  <c r="F32" i="72"/>
  <c r="E32" i="72"/>
  <c r="D32" i="72"/>
  <c r="I30" i="72"/>
  <c r="H30" i="72"/>
  <c r="G30" i="72"/>
  <c r="F30" i="72"/>
  <c r="E30" i="72"/>
  <c r="D30" i="72"/>
  <c r="I28" i="72"/>
  <c r="H28" i="72"/>
  <c r="G28" i="72"/>
  <c r="F28" i="72"/>
  <c r="E28" i="72"/>
  <c r="D28" i="72"/>
  <c r="B3" i="72"/>
  <c r="E2" i="72"/>
  <c r="B2" i="72"/>
  <c r="B41" i="89"/>
  <c r="C33" i="89"/>
  <c r="C32" i="89"/>
  <c r="C31" i="89"/>
  <c r="C30" i="89"/>
  <c r="O29" i="89"/>
  <c r="C29" i="89"/>
  <c r="O28" i="89"/>
  <c r="H24" i="89"/>
  <c r="G24" i="89"/>
  <c r="F24" i="89"/>
  <c r="E24" i="89"/>
  <c r="D24" i="89"/>
  <c r="D7" i="89"/>
  <c r="D6" i="89"/>
  <c r="D5" i="89"/>
  <c r="D4" i="89"/>
  <c r="D3" i="89"/>
  <c r="B3" i="89"/>
  <c r="D2" i="89"/>
  <c r="B2" i="89"/>
  <c r="D7" i="79"/>
  <c r="D6" i="79"/>
  <c r="D5" i="79"/>
  <c r="D4" i="79"/>
  <c r="D3" i="79"/>
  <c r="B3" i="79"/>
  <c r="D2" i="79"/>
  <c r="B2" i="79"/>
  <c r="B74" i="78"/>
  <c r="I60" i="78"/>
  <c r="H60" i="78"/>
  <c r="G60" i="78"/>
  <c r="F60" i="78"/>
  <c r="E60" i="78"/>
  <c r="D60" i="78"/>
  <c r="I55" i="78"/>
  <c r="H55" i="78"/>
  <c r="G55" i="78"/>
  <c r="F55" i="78"/>
  <c r="E55" i="78"/>
  <c r="D55" i="78"/>
  <c r="I50" i="78"/>
  <c r="H50" i="78"/>
  <c r="G50" i="78"/>
  <c r="F50" i="78"/>
  <c r="E50" i="78"/>
  <c r="D50" i="78"/>
  <c r="I45" i="78"/>
  <c r="H45" i="78"/>
  <c r="G45" i="78"/>
  <c r="F45" i="78"/>
  <c r="E45" i="78"/>
  <c r="D45" i="78"/>
  <c r="I38" i="78"/>
  <c r="H38" i="78"/>
  <c r="G38" i="78"/>
  <c r="F38" i="78"/>
  <c r="E38" i="78"/>
  <c r="D38" i="78"/>
  <c r="I33" i="78"/>
  <c r="H33" i="78"/>
  <c r="G33" i="78"/>
  <c r="F33" i="78"/>
  <c r="E33" i="78"/>
  <c r="D33" i="78"/>
  <c r="I28" i="78"/>
  <c r="H28" i="78"/>
  <c r="G28" i="78"/>
  <c r="F28" i="78"/>
  <c r="E28" i="78"/>
  <c r="D28" i="78"/>
  <c r="I23" i="78"/>
  <c r="H23" i="78"/>
  <c r="G23" i="78"/>
  <c r="F23" i="78"/>
  <c r="E23" i="78"/>
  <c r="D23" i="78"/>
  <c r="I15" i="78"/>
  <c r="H15" i="78"/>
  <c r="G15" i="78"/>
  <c r="F15" i="78"/>
  <c r="E15" i="78"/>
  <c r="D15" i="78"/>
  <c r="D7" i="78"/>
  <c r="D6" i="78"/>
  <c r="D5" i="78"/>
  <c r="D4" i="78"/>
  <c r="D3" i="78"/>
  <c r="B3" i="78"/>
  <c r="D2" i="78"/>
  <c r="B2" i="78"/>
  <c r="D19" i="71"/>
  <c r="G7" i="71"/>
  <c r="E7" i="71"/>
  <c r="D7" i="71"/>
  <c r="I6" i="71"/>
  <c r="G6" i="71"/>
  <c r="E6" i="71"/>
  <c r="D6" i="71"/>
  <c r="D5" i="71"/>
  <c r="D4" i="71"/>
  <c r="D3" i="71"/>
  <c r="B3" i="71"/>
  <c r="D2" i="71"/>
  <c r="B2" i="71"/>
  <c r="Q70" i="83"/>
  <c r="D70" i="83" s="1"/>
  <c r="Q69" i="83"/>
  <c r="O69" i="83"/>
  <c r="M69" i="83"/>
  <c r="K69" i="83"/>
  <c r="I69" i="83"/>
  <c r="G69" i="83"/>
  <c r="E69" i="83"/>
  <c r="Q68" i="83"/>
  <c r="O68" i="83"/>
  <c r="M68" i="83"/>
  <c r="K68" i="83"/>
  <c r="I68" i="83"/>
  <c r="G68" i="83"/>
  <c r="E68" i="83"/>
  <c r="Q67" i="83"/>
  <c r="O67" i="83"/>
  <c r="M67" i="83"/>
  <c r="K67" i="83"/>
  <c r="I67" i="83"/>
  <c r="G67" i="83"/>
  <c r="E67" i="83"/>
  <c r="Q66" i="83"/>
  <c r="O66" i="83"/>
  <c r="M66" i="83"/>
  <c r="K66" i="83"/>
  <c r="I66" i="83"/>
  <c r="G66" i="83"/>
  <c r="E66" i="83"/>
  <c r="Q65" i="83"/>
  <c r="O65" i="83"/>
  <c r="M65" i="83"/>
  <c r="K65" i="83"/>
  <c r="I65" i="83"/>
  <c r="G65" i="83"/>
  <c r="E65" i="83"/>
  <c r="Q64" i="83"/>
  <c r="O64" i="83"/>
  <c r="M64" i="83"/>
  <c r="L45" i="84" s="1"/>
  <c r="K64" i="83"/>
  <c r="J45" i="84" s="1"/>
  <c r="I64" i="83"/>
  <c r="H45" i="84" s="1"/>
  <c r="G64" i="83"/>
  <c r="F45" i="84" s="1"/>
  <c r="E64" i="83"/>
  <c r="D45" i="84" s="1"/>
  <c r="E57" i="83"/>
  <c r="E56" i="83"/>
  <c r="E55" i="83"/>
  <c r="E54" i="83"/>
  <c r="E53" i="83"/>
  <c r="M52" i="83"/>
  <c r="E52" i="83"/>
  <c r="M51" i="83"/>
  <c r="E51" i="83"/>
  <c r="M50"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D63" i="83" s="1"/>
  <c r="M32" i="83"/>
  <c r="E32" i="83"/>
  <c r="E26" i="83"/>
  <c r="E25" i="83"/>
  <c r="M24" i="83"/>
  <c r="E24" i="83"/>
  <c r="M23" i="83"/>
  <c r="E23" i="83"/>
  <c r="M22" i="83"/>
  <c r="E22" i="83"/>
  <c r="M21" i="83"/>
  <c r="E21" i="83"/>
  <c r="M20" i="83"/>
  <c r="E20" i="83"/>
  <c r="M19" i="83"/>
  <c r="E19" i="83"/>
  <c r="M18" i="83"/>
  <c r="E18" i="83"/>
  <c r="M17" i="83"/>
  <c r="E17" i="83"/>
  <c r="M16" i="83"/>
  <c r="E16" i="83"/>
  <c r="M15" i="83"/>
  <c r="E15" i="83"/>
  <c r="G7" i="83"/>
  <c r="D7" i="83"/>
  <c r="I6" i="83"/>
  <c r="G6" i="83"/>
  <c r="D6" i="83"/>
  <c r="D5" i="83"/>
  <c r="D4" i="83"/>
  <c r="D3" i="83"/>
  <c r="C3" i="83"/>
  <c r="D2" i="83"/>
  <c r="C2"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G7" i="90"/>
  <c r="E7" i="90"/>
  <c r="D7" i="90"/>
  <c r="I6" i="90"/>
  <c r="G6" i="90"/>
  <c r="E6" i="90"/>
  <c r="D6" i="90"/>
  <c r="D5" i="90"/>
  <c r="D4" i="90"/>
  <c r="D3" i="90"/>
  <c r="B3" i="90"/>
  <c r="D2" i="90"/>
  <c r="B2" i="90"/>
  <c r="H20" i="69"/>
  <c r="D20" i="69"/>
  <c r="H19" i="69"/>
  <c r="F19" i="69"/>
  <c r="D19" i="69"/>
  <c r="H18" i="69"/>
  <c r="D18" i="69"/>
  <c r="H17" i="69"/>
  <c r="D17" i="69"/>
  <c r="H16" i="69"/>
  <c r="D16" i="69"/>
  <c r="H15" i="69"/>
  <c r="F15" i="69"/>
  <c r="D15" i="69"/>
  <c r="H14" i="69"/>
  <c r="D14" i="69"/>
  <c r="G7" i="69"/>
  <c r="E7" i="69"/>
  <c r="D7" i="69"/>
  <c r="I6" i="69"/>
  <c r="G6" i="69"/>
  <c r="E6" i="69"/>
  <c r="D6" i="69"/>
  <c r="D5" i="69"/>
  <c r="D4" i="69"/>
  <c r="D3" i="69"/>
  <c r="B3" i="69"/>
  <c r="D2" i="69"/>
  <c r="B2" i="69"/>
  <c r="G7" i="67"/>
  <c r="E7" i="67"/>
  <c r="D7" i="67"/>
  <c r="I6" i="67"/>
  <c r="G6" i="67"/>
  <c r="E6" i="67"/>
  <c r="D6" i="67"/>
  <c r="D5" i="67"/>
  <c r="D4" i="67"/>
  <c r="D3" i="67"/>
  <c r="B3" i="67"/>
  <c r="D2" i="67"/>
  <c r="B2" i="67"/>
  <c r="E35" i="50"/>
  <c r="G29" i="50"/>
  <c r="E29" i="50"/>
  <c r="G28" i="50"/>
  <c r="E28" i="50"/>
  <c r="G27" i="50"/>
  <c r="E27" i="50"/>
  <c r="G26" i="50"/>
  <c r="E26" i="50"/>
  <c r="G25" i="50"/>
  <c r="E25" i="50"/>
  <c r="G24" i="50"/>
  <c r="E24" i="50"/>
  <c r="G23" i="50"/>
  <c r="E23" i="50"/>
  <c r="G22" i="50"/>
  <c r="E22" i="50"/>
  <c r="G21" i="50"/>
  <c r="E21" i="50"/>
  <c r="G20" i="50"/>
  <c r="E20" i="50"/>
  <c r="G19" i="50"/>
  <c r="E19" i="50"/>
  <c r="G18" i="50"/>
  <c r="E18" i="50"/>
  <c r="G17" i="50"/>
  <c r="E17" i="50"/>
  <c r="G16" i="50"/>
  <c r="E16" i="50"/>
  <c r="G15" i="50"/>
  <c r="E15" i="50"/>
  <c r="G14" i="50"/>
  <c r="E14" i="50"/>
  <c r="G7" i="50"/>
  <c r="E7" i="50"/>
  <c r="D7" i="50"/>
  <c r="I6" i="50"/>
  <c r="G6" i="50"/>
  <c r="E6" i="50"/>
  <c r="D6" i="50"/>
  <c r="D5" i="50"/>
  <c r="D4" i="50"/>
  <c r="D3" i="50"/>
  <c r="B3" i="50"/>
  <c r="D2" i="50"/>
  <c r="B2" i="50"/>
  <c r="G7" i="66"/>
  <c r="E7" i="66"/>
  <c r="D7" i="66"/>
  <c r="I6" i="66"/>
  <c r="G6" i="66"/>
  <c r="E6" i="66"/>
  <c r="D6" i="66"/>
  <c r="D5" i="66"/>
  <c r="D4" i="66"/>
  <c r="D3" i="66"/>
  <c r="B3" i="66"/>
  <c r="D2" i="66"/>
  <c r="B2" i="66"/>
  <c r="E34" i="49"/>
  <c r="G28" i="49"/>
  <c r="E28" i="49"/>
  <c r="G27" i="49"/>
  <c r="E27" i="49"/>
  <c r="G26" i="49"/>
  <c r="E26" i="49"/>
  <c r="G25" i="49"/>
  <c r="E25" i="49"/>
  <c r="G24" i="49"/>
  <c r="E24" i="49"/>
  <c r="G23" i="49"/>
  <c r="E23" i="49"/>
  <c r="G22" i="49"/>
  <c r="E22" i="49"/>
  <c r="G21" i="49"/>
  <c r="E21" i="49"/>
  <c r="G20" i="49"/>
  <c r="E20" i="49"/>
  <c r="G19" i="49"/>
  <c r="E19" i="49"/>
  <c r="G18" i="49"/>
  <c r="E18" i="49"/>
  <c r="G17" i="49"/>
  <c r="E17" i="49"/>
  <c r="G16" i="49"/>
  <c r="E16" i="49"/>
  <c r="G15" i="49"/>
  <c r="E15" i="49"/>
  <c r="G14" i="49"/>
  <c r="E14" i="49"/>
  <c r="G7" i="49"/>
  <c r="E7" i="49"/>
  <c r="D7" i="49"/>
  <c r="I6" i="49"/>
  <c r="G6" i="49"/>
  <c r="E6" i="49"/>
  <c r="D6" i="49"/>
  <c r="D5" i="49"/>
  <c r="D4" i="49"/>
  <c r="D3" i="49"/>
  <c r="B3" i="49"/>
  <c r="D2" i="49"/>
  <c r="B2" i="49"/>
  <c r="G7" i="65"/>
  <c r="E7" i="65"/>
  <c r="D7" i="65"/>
  <c r="I6" i="65"/>
  <c r="G6" i="65"/>
  <c r="E6" i="65"/>
  <c r="D6" i="65"/>
  <c r="D5" i="65"/>
  <c r="D4" i="65"/>
  <c r="D3" i="65"/>
  <c r="B3" i="65"/>
  <c r="D2" i="65"/>
  <c r="B2" i="65"/>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E25" i="48"/>
  <c r="G24" i="48"/>
  <c r="E24" i="48"/>
  <c r="G23" i="48"/>
  <c r="E23" i="48"/>
  <c r="G22" i="48"/>
  <c r="E22" i="48"/>
  <c r="G21" i="48"/>
  <c r="E21" i="48"/>
  <c r="G20" i="48"/>
  <c r="E20" i="48"/>
  <c r="G19" i="48"/>
  <c r="E19" i="48"/>
  <c r="G18" i="48"/>
  <c r="E18" i="48"/>
  <c r="G17" i="48"/>
  <c r="E17" i="48"/>
  <c r="G16" i="48"/>
  <c r="E16" i="48"/>
  <c r="G15" i="48"/>
  <c r="E15" i="48"/>
  <c r="G14" i="48"/>
  <c r="E14" i="48"/>
  <c r="G7" i="48"/>
  <c r="E7" i="48"/>
  <c r="D7" i="48"/>
  <c r="I6" i="48"/>
  <c r="G6" i="48"/>
  <c r="E6" i="48"/>
  <c r="D6" i="48"/>
  <c r="D5" i="48"/>
  <c r="D4" i="48"/>
  <c r="D3" i="48"/>
  <c r="B3" i="48"/>
  <c r="D2" i="48"/>
  <c r="B2" i="48"/>
  <c r="G7" i="64"/>
  <c r="E7" i="64"/>
  <c r="D7" i="64"/>
  <c r="I6" i="64"/>
  <c r="G6" i="64"/>
  <c r="E6" i="64"/>
  <c r="D6" i="64"/>
  <c r="D5" i="64"/>
  <c r="D4" i="64"/>
  <c r="D3" i="64"/>
  <c r="B3" i="64"/>
  <c r="D2" i="64"/>
  <c r="B2" i="64"/>
  <c r="E32" i="47"/>
  <c r="G27" i="47"/>
  <c r="E27" i="47"/>
  <c r="G26" i="47"/>
  <c r="E26" i="47"/>
  <c r="G25" i="47"/>
  <c r="E25" i="47"/>
  <c r="G24" i="47"/>
  <c r="E24" i="47"/>
  <c r="G23" i="47"/>
  <c r="E23" i="47"/>
  <c r="G22" i="47"/>
  <c r="E22" i="47"/>
  <c r="G21" i="47"/>
  <c r="E21" i="47"/>
  <c r="G20" i="47"/>
  <c r="E20" i="47"/>
  <c r="G19" i="47"/>
  <c r="E19" i="47"/>
  <c r="G18" i="47"/>
  <c r="E18" i="47"/>
  <c r="G17" i="47"/>
  <c r="E17" i="47"/>
  <c r="G16" i="47"/>
  <c r="E16" i="47"/>
  <c r="G15" i="47"/>
  <c r="E15" i="47"/>
  <c r="G14" i="47"/>
  <c r="E14" i="47"/>
  <c r="G7" i="47"/>
  <c r="E7" i="47"/>
  <c r="D7" i="47"/>
  <c r="I6" i="47"/>
  <c r="G6" i="47"/>
  <c r="E6" i="47"/>
  <c r="D6" i="47"/>
  <c r="D5" i="47"/>
  <c r="D4" i="47"/>
  <c r="D3" i="47"/>
  <c r="B3" i="47"/>
  <c r="D2" i="47"/>
  <c r="B2" i="47"/>
  <c r="G22" i="46"/>
  <c r="E22" i="46"/>
  <c r="G21" i="46"/>
  <c r="E21" i="46"/>
  <c r="G15" i="46"/>
  <c r="E15" i="46"/>
  <c r="G14" i="46"/>
  <c r="E14" i="46"/>
  <c r="G7" i="46"/>
  <c r="E7" i="46"/>
  <c r="D7" i="46"/>
  <c r="I6" i="46"/>
  <c r="G6" i="46"/>
  <c r="E6" i="46"/>
  <c r="D6" i="46"/>
  <c r="D5" i="46"/>
  <c r="D4" i="46"/>
  <c r="D3" i="46"/>
  <c r="B3" i="46"/>
  <c r="D2" i="46"/>
  <c r="B2" i="46"/>
  <c r="G15" i="44"/>
  <c r="F15" i="44"/>
  <c r="E15" i="44"/>
  <c r="G14" i="44"/>
  <c r="E14" i="44"/>
  <c r="E16" i="44" s="1"/>
  <c r="G7" i="44"/>
  <c r="E7" i="44"/>
  <c r="D7" i="44"/>
  <c r="I6" i="44"/>
  <c r="G6" i="44"/>
  <c r="E6" i="44"/>
  <c r="D6" i="44"/>
  <c r="D5" i="44"/>
  <c r="D4" i="44"/>
  <c r="D3" i="44"/>
  <c r="B3" i="44"/>
  <c r="D2" i="44"/>
  <c r="B2" i="44"/>
  <c r="E16" i="43"/>
  <c r="G15" i="43"/>
  <c r="G16" i="43" s="1"/>
  <c r="F15" i="43"/>
  <c r="E15" i="43"/>
  <c r="G14" i="43"/>
  <c r="F14" i="43"/>
  <c r="F16" i="43" s="1"/>
  <c r="E14" i="43"/>
  <c r="G7" i="43"/>
  <c r="E7" i="43"/>
  <c r="D7" i="43"/>
  <c r="I6" i="43"/>
  <c r="G6" i="43"/>
  <c r="E6" i="43"/>
  <c r="D6" i="43"/>
  <c r="F5" i="43"/>
  <c r="D5" i="43"/>
  <c r="D4" i="43"/>
  <c r="D3" i="43"/>
  <c r="B3" i="43"/>
  <c r="D2" i="43"/>
  <c r="B2" i="43"/>
  <c r="G7" i="63"/>
  <c r="E7" i="63"/>
  <c r="D7" i="63"/>
  <c r="I6" i="63"/>
  <c r="G6" i="63"/>
  <c r="E6" i="63"/>
  <c r="D6" i="63"/>
  <c r="D5" i="63"/>
  <c r="D4" i="63"/>
  <c r="D3" i="63"/>
  <c r="B3" i="63"/>
  <c r="D2" i="63"/>
  <c r="B2" i="63"/>
  <c r="G30" i="42"/>
  <c r="E30" i="42"/>
  <c r="G29" i="42"/>
  <c r="E29" i="42"/>
  <c r="G28" i="42"/>
  <c r="E28" i="42"/>
  <c r="G27" i="42"/>
  <c r="E27" i="42"/>
  <c r="G26" i="42"/>
  <c r="E26" i="42"/>
  <c r="G25" i="42"/>
  <c r="E25" i="42"/>
  <c r="G24" i="42"/>
  <c r="E24" i="42"/>
  <c r="G23" i="42"/>
  <c r="E23" i="42"/>
  <c r="G22" i="42"/>
  <c r="E22" i="42"/>
  <c r="G21" i="42"/>
  <c r="E21" i="42"/>
  <c r="G20" i="42"/>
  <c r="E20" i="42"/>
  <c r="G19" i="42"/>
  <c r="E19" i="42"/>
  <c r="G18" i="42"/>
  <c r="E18" i="42"/>
  <c r="G17" i="42"/>
  <c r="E17" i="42"/>
  <c r="G16" i="42"/>
  <c r="E16" i="42"/>
  <c r="G15" i="42"/>
  <c r="E15" i="42"/>
  <c r="G14" i="42"/>
  <c r="E14" i="42"/>
  <c r="G7" i="42"/>
  <c r="E7" i="42"/>
  <c r="D7" i="42"/>
  <c r="I6" i="42"/>
  <c r="G6" i="42"/>
  <c r="F6" i="42"/>
  <c r="E6" i="42"/>
  <c r="D6" i="42"/>
  <c r="D5" i="42"/>
  <c r="D4" i="42"/>
  <c r="D3" i="42"/>
  <c r="B3" i="42"/>
  <c r="D2" i="42"/>
  <c r="B2" i="42"/>
  <c r="E15" i="41"/>
  <c r="H14" i="41"/>
  <c r="G14" i="41"/>
  <c r="F14" i="41"/>
  <c r="G7" i="41"/>
  <c r="E7" i="41"/>
  <c r="D7" i="41"/>
  <c r="I6" i="41"/>
  <c r="G6" i="41"/>
  <c r="E6" i="41"/>
  <c r="D6" i="41"/>
  <c r="D5" i="41"/>
  <c r="D4" i="41"/>
  <c r="D3" i="41"/>
  <c r="B3" i="41"/>
  <c r="D2" i="41"/>
  <c r="B2" i="41"/>
  <c r="G7" i="62"/>
  <c r="E7" i="62"/>
  <c r="D7" i="62"/>
  <c r="I6" i="62"/>
  <c r="G6" i="62"/>
  <c r="E6" i="62"/>
  <c r="D6" i="62"/>
  <c r="D5" i="62"/>
  <c r="D4" i="62"/>
  <c r="D3" i="62"/>
  <c r="B3" i="62"/>
  <c r="D2" i="62"/>
  <c r="B2" i="62"/>
  <c r="E55" i="40"/>
  <c r="F30" i="40" s="1"/>
  <c r="G54" i="40"/>
  <c r="E54" i="40"/>
  <c r="G53" i="40"/>
  <c r="E53" i="40"/>
  <c r="G52" i="40"/>
  <c r="E52" i="40"/>
  <c r="G51" i="40"/>
  <c r="E51" i="40"/>
  <c r="G50" i="40"/>
  <c r="E50" i="40"/>
  <c r="G49" i="40"/>
  <c r="E49" i="40"/>
  <c r="G48" i="40"/>
  <c r="F48" i="40"/>
  <c r="E48" i="40"/>
  <c r="G47" i="40"/>
  <c r="E47" i="40"/>
  <c r="G46" i="40"/>
  <c r="E46" i="40"/>
  <c r="G45" i="40"/>
  <c r="E45" i="40"/>
  <c r="G44" i="40"/>
  <c r="E44" i="40"/>
  <c r="G43" i="40"/>
  <c r="E43" i="40"/>
  <c r="F43" i="40" s="1"/>
  <c r="G42" i="40"/>
  <c r="E42" i="40"/>
  <c r="G41" i="40"/>
  <c r="E41" i="40"/>
  <c r="G40" i="40"/>
  <c r="E40" i="40"/>
  <c r="F40" i="40" s="1"/>
  <c r="G39" i="40"/>
  <c r="E39" i="40"/>
  <c r="G38" i="40"/>
  <c r="E38" i="40"/>
  <c r="G37" i="40"/>
  <c r="E37" i="40"/>
  <c r="G36" i="40"/>
  <c r="E36" i="40"/>
  <c r="F36" i="40" s="1"/>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F22" i="40" s="1"/>
  <c r="G21" i="40"/>
  <c r="E21" i="40"/>
  <c r="G20" i="40"/>
  <c r="E20" i="40"/>
  <c r="G19" i="40"/>
  <c r="E19" i="40"/>
  <c r="G18" i="40"/>
  <c r="E18" i="40"/>
  <c r="G17" i="40"/>
  <c r="E17" i="40"/>
  <c r="G16" i="40"/>
  <c r="E16" i="40"/>
  <c r="G15" i="40"/>
  <c r="E15" i="40"/>
  <c r="G14" i="40"/>
  <c r="E14" i="40"/>
  <c r="G7" i="40"/>
  <c r="E7" i="40"/>
  <c r="D7" i="40"/>
  <c r="I6" i="40"/>
  <c r="G6" i="40"/>
  <c r="E6" i="40"/>
  <c r="D6" i="40"/>
  <c r="D5" i="40"/>
  <c r="D4" i="40"/>
  <c r="D3" i="40"/>
  <c r="B3" i="40"/>
  <c r="D2" i="40"/>
  <c r="B2" i="40"/>
  <c r="G7" i="61"/>
  <c r="E7" i="61"/>
  <c r="D7" i="61"/>
  <c r="I6" i="61"/>
  <c r="G6" i="61"/>
  <c r="E6" i="61"/>
  <c r="D6" i="61"/>
  <c r="D5" i="61"/>
  <c r="D4" i="61"/>
  <c r="D3" i="61"/>
  <c r="B3" i="61"/>
  <c r="D2" i="61"/>
  <c r="B2" i="61"/>
  <c r="H64" i="37"/>
  <c r="G64" i="37"/>
  <c r="E64" i="37"/>
  <c r="H63" i="37"/>
  <c r="G63" i="37"/>
  <c r="E63" i="37"/>
  <c r="G62" i="37"/>
  <c r="E62" i="37"/>
  <c r="H61" i="37"/>
  <c r="G61" i="37"/>
  <c r="E61" i="37"/>
  <c r="H60" i="37"/>
  <c r="G60" i="37"/>
  <c r="E60" i="37"/>
  <c r="H59" i="37"/>
  <c r="G59" i="37"/>
  <c r="E59" i="37"/>
  <c r="H58" i="37"/>
  <c r="G58" i="37"/>
  <c r="E58" i="37"/>
  <c r="H57" i="37"/>
  <c r="G57" i="37"/>
  <c r="E57" i="37"/>
  <c r="H56" i="37"/>
  <c r="G56" i="37"/>
  <c r="E56" i="37"/>
  <c r="H55" i="37"/>
  <c r="G55" i="37"/>
  <c r="E55" i="37"/>
  <c r="H54" i="37"/>
  <c r="G54" i="37"/>
  <c r="E54" i="37"/>
  <c r="G53" i="37"/>
  <c r="E53" i="37"/>
  <c r="H52" i="37"/>
  <c r="G52" i="37"/>
  <c r="E52" i="37"/>
  <c r="H51" i="37"/>
  <c r="G51" i="37"/>
  <c r="E51" i="37"/>
  <c r="H50" i="37"/>
  <c r="G50" i="37"/>
  <c r="E50" i="37"/>
  <c r="G49" i="37"/>
  <c r="E49" i="37"/>
  <c r="H48" i="37"/>
  <c r="G48" i="37"/>
  <c r="E48" i="37"/>
  <c r="H47" i="37"/>
  <c r="G47" i="37"/>
  <c r="E47" i="37"/>
  <c r="H46" i="37"/>
  <c r="G46" i="37"/>
  <c r="E46" i="37"/>
  <c r="H45" i="37"/>
  <c r="G45" i="37"/>
  <c r="E45" i="37"/>
  <c r="H44" i="37"/>
  <c r="G44" i="37"/>
  <c r="E44" i="37"/>
  <c r="H43" i="37"/>
  <c r="G43" i="37"/>
  <c r="E43" i="37"/>
  <c r="H42" i="37"/>
  <c r="G42" i="37"/>
  <c r="E42" i="37"/>
  <c r="H41" i="37"/>
  <c r="G41" i="37"/>
  <c r="E41" i="37"/>
  <c r="G40" i="37"/>
  <c r="E40" i="37"/>
  <c r="G39" i="37"/>
  <c r="E39" i="37"/>
  <c r="H38" i="37"/>
  <c r="G38" i="37"/>
  <c r="E38" i="37"/>
  <c r="H37" i="37"/>
  <c r="G37" i="37"/>
  <c r="E37" i="37"/>
  <c r="H36" i="37"/>
  <c r="G36" i="37"/>
  <c r="E36" i="37"/>
  <c r="H35" i="37"/>
  <c r="G35" i="37"/>
  <c r="E35" i="37"/>
  <c r="H34" i="37"/>
  <c r="G34" i="37"/>
  <c r="E34" i="37"/>
  <c r="H33" i="37"/>
  <c r="G33" i="37"/>
  <c r="E33" i="37"/>
  <c r="H32" i="37"/>
  <c r="G32" i="37"/>
  <c r="E32" i="37"/>
  <c r="H31" i="37"/>
  <c r="G31" i="37"/>
  <c r="E31" i="37"/>
  <c r="G30" i="37"/>
  <c r="E30" i="37"/>
  <c r="H29" i="37"/>
  <c r="G29" i="37"/>
  <c r="E29" i="37"/>
  <c r="H28" i="37"/>
  <c r="G28" i="37"/>
  <c r="E28" i="37"/>
  <c r="H27" i="37"/>
  <c r="G27" i="37"/>
  <c r="E27" i="37"/>
  <c r="G26" i="37"/>
  <c r="E26" i="37"/>
  <c r="H25" i="37"/>
  <c r="G25" i="37"/>
  <c r="E25" i="37"/>
  <c r="H24" i="37"/>
  <c r="G24" i="37"/>
  <c r="E24" i="37"/>
  <c r="H23" i="37"/>
  <c r="G23" i="37"/>
  <c r="E23" i="37"/>
  <c r="H22" i="37"/>
  <c r="G22" i="37"/>
  <c r="E22" i="37"/>
  <c r="H21" i="37"/>
  <c r="G21" i="37"/>
  <c r="E21" i="37"/>
  <c r="H20" i="37"/>
  <c r="G20" i="37"/>
  <c r="E20" i="37"/>
  <c r="H19" i="37"/>
  <c r="G19" i="37"/>
  <c r="E19" i="37"/>
  <c r="H18" i="37"/>
  <c r="G18" i="37"/>
  <c r="E18" i="37"/>
  <c r="G17" i="37"/>
  <c r="E17" i="37"/>
  <c r="H16" i="37"/>
  <c r="G16" i="37"/>
  <c r="E16" i="37"/>
  <c r="H15" i="37"/>
  <c r="G15" i="37"/>
  <c r="E15" i="37"/>
  <c r="H14" i="37"/>
  <c r="G14" i="37"/>
  <c r="G65" i="37" s="1"/>
  <c r="H53" i="37" s="1"/>
  <c r="E14" i="37"/>
  <c r="G7" i="37"/>
  <c r="E7" i="37"/>
  <c r="D7" i="37"/>
  <c r="I6" i="37"/>
  <c r="G6" i="37"/>
  <c r="E6" i="37"/>
  <c r="D6" i="37"/>
  <c r="D5" i="37"/>
  <c r="D4" i="37"/>
  <c r="D3" i="37"/>
  <c r="B3" i="37"/>
  <c r="D2" i="37"/>
  <c r="B2" i="37"/>
  <c r="N46" i="84"/>
  <c r="L46" i="84"/>
  <c r="J46" i="84"/>
  <c r="J47" i="84" s="1"/>
  <c r="H46" i="84"/>
  <c r="H47" i="84" s="1"/>
  <c r="F46" i="84"/>
  <c r="F47" i="84" s="1"/>
  <c r="D46" i="84"/>
  <c r="D47" i="84" s="1"/>
  <c r="N45" i="84"/>
  <c r="C40" i="84"/>
  <c r="C38" i="84"/>
  <c r="N31" i="84"/>
  <c r="L31" i="84"/>
  <c r="J31" i="84"/>
  <c r="H31" i="84"/>
  <c r="H32" i="84" s="1"/>
  <c r="H43" i="84" s="1"/>
  <c r="F31" i="84"/>
  <c r="F33" i="84" s="1"/>
  <c r="F35" i="84" s="1"/>
  <c r="D31" i="84"/>
  <c r="D32" i="84" s="1"/>
  <c r="D43" i="84" s="1"/>
  <c r="C30" i="84"/>
  <c r="C29" i="84"/>
  <c r="N27" i="84"/>
  <c r="N33" i="84" s="1"/>
  <c r="N35" i="84" s="1"/>
  <c r="L27" i="84"/>
  <c r="J27" i="84"/>
  <c r="H27" i="84"/>
  <c r="H41" i="84" s="1"/>
  <c r="F27" i="84"/>
  <c r="D27" i="84"/>
  <c r="N24" i="84"/>
  <c r="H24" i="84"/>
  <c r="D24" i="84"/>
  <c r="N23" i="84"/>
  <c r="L23" i="84"/>
  <c r="L24" i="84" s="1"/>
  <c r="J23" i="84"/>
  <c r="J24" i="84" s="1"/>
  <c r="H23" i="84"/>
  <c r="F23" i="84"/>
  <c r="F24" i="84" s="1"/>
  <c r="F41" i="84" s="1"/>
  <c r="C22" i="84"/>
  <c r="N21" i="84"/>
  <c r="L21" i="84"/>
  <c r="J21" i="84"/>
  <c r="H21" i="84"/>
  <c r="F21" i="84"/>
  <c r="D21" i="84"/>
  <c r="G7" i="84"/>
  <c r="I6" i="84"/>
  <c r="G6" i="84"/>
  <c r="B3" i="84"/>
  <c r="B2" i="84"/>
  <c r="G7" i="85"/>
  <c r="D7" i="85"/>
  <c r="I6" i="85"/>
  <c r="G6" i="85"/>
  <c r="D6" i="85"/>
  <c r="D5" i="85"/>
  <c r="D4" i="85"/>
  <c r="D3" i="85"/>
  <c r="B3" i="85"/>
  <c r="D2" i="85"/>
  <c r="B2" i="85"/>
  <c r="G7" i="91"/>
  <c r="E7" i="91"/>
  <c r="D7" i="91"/>
  <c r="I6" i="91"/>
  <c r="G6" i="91"/>
  <c r="E6" i="91"/>
  <c r="D6" i="91"/>
  <c r="D5" i="91"/>
  <c r="D4" i="91"/>
  <c r="D3" i="91"/>
  <c r="B3" i="91"/>
  <c r="D2" i="91"/>
  <c r="B2" i="91"/>
  <c r="F68" i="87"/>
  <c r="F67" i="87"/>
  <c r="F66" i="87"/>
  <c r="F65" i="87"/>
  <c r="F62" i="87"/>
  <c r="F61" i="87"/>
  <c r="F60" i="87"/>
  <c r="F59" i="87"/>
  <c r="F56" i="87"/>
  <c r="F55" i="87"/>
  <c r="F54" i="87"/>
  <c r="F53" i="87"/>
  <c r="F50" i="87"/>
  <c r="F49" i="87"/>
  <c r="F48" i="87"/>
  <c r="F47" i="87"/>
  <c r="F44" i="87"/>
  <c r="F43" i="87"/>
  <c r="F42" i="87"/>
  <c r="F41" i="87"/>
  <c r="F38" i="87"/>
  <c r="F37" i="87"/>
  <c r="F36" i="87"/>
  <c r="F35" i="87"/>
  <c r="F27" i="87"/>
  <c r="F26" i="87"/>
  <c r="H23" i="87"/>
  <c r="F21" i="87"/>
  <c r="F20" i="87"/>
  <c r="G7" i="87"/>
  <c r="E7" i="87"/>
  <c r="D7" i="87"/>
  <c r="I6" i="87"/>
  <c r="G6" i="87"/>
  <c r="E6" i="87"/>
  <c r="D6" i="87"/>
  <c r="D5" i="87"/>
  <c r="D4" i="87"/>
  <c r="D3" i="87"/>
  <c r="B3" i="87"/>
  <c r="D2" i="87"/>
  <c r="B2" i="87"/>
  <c r="G7" i="86"/>
  <c r="E7" i="86"/>
  <c r="D7" i="86"/>
  <c r="I6" i="86"/>
  <c r="G6" i="86"/>
  <c r="E6" i="86"/>
  <c r="D6" i="86"/>
  <c r="D5" i="86"/>
  <c r="D4" i="86"/>
  <c r="D3" i="86"/>
  <c r="B3" i="86"/>
  <c r="D2" i="86"/>
  <c r="B2" i="86"/>
  <c r="D43" i="57"/>
  <c r="D42" i="57"/>
  <c r="D41" i="57"/>
  <c r="D38" i="57"/>
  <c r="D37" i="57"/>
  <c r="F36" i="57"/>
  <c r="D34" i="57"/>
  <c r="D33" i="57"/>
  <c r="D32" i="57"/>
  <c r="D29" i="57"/>
  <c r="D28" i="57"/>
  <c r="F27" i="57"/>
  <c r="D25" i="57"/>
  <c r="D24" i="57"/>
  <c r="D23" i="57"/>
  <c r="D20" i="57"/>
  <c r="D19" i="57"/>
  <c r="G7" i="57"/>
  <c r="E7" i="57"/>
  <c r="D7" i="57"/>
  <c r="I6" i="57"/>
  <c r="G6" i="57"/>
  <c r="E6" i="57"/>
  <c r="D6" i="57"/>
  <c r="D5" i="57"/>
  <c r="D4" i="57"/>
  <c r="D3" i="57"/>
  <c r="B3" i="57"/>
  <c r="D2" i="57"/>
  <c r="B2" i="57"/>
  <c r="G7" i="92"/>
  <c r="I6" i="92"/>
  <c r="G6" i="92"/>
  <c r="B3" i="92"/>
  <c r="B2" i="92"/>
  <c r="J32" i="70"/>
  <c r="F32" i="70"/>
  <c r="J30" i="70"/>
  <c r="F30" i="70"/>
  <c r="J28" i="70"/>
  <c r="F28" i="70"/>
  <c r="J26" i="70"/>
  <c r="F26" i="70"/>
  <c r="J24" i="70"/>
  <c r="F24" i="70"/>
  <c r="J22" i="70"/>
  <c r="F22" i="70"/>
  <c r="J20" i="70"/>
  <c r="F20" i="70"/>
  <c r="J15" i="70"/>
  <c r="F15" i="70"/>
  <c r="C15" i="70"/>
  <c r="G7" i="70"/>
  <c r="I6" i="70"/>
  <c r="G6" i="70"/>
  <c r="B3" i="70"/>
  <c r="B2" i="70"/>
  <c r="F6" i="56"/>
  <c r="F6" i="44" s="1"/>
  <c r="F5" i="56"/>
  <c r="F5" i="62" s="1"/>
  <c r="F4" i="56"/>
  <c r="G4" i="78" s="1"/>
  <c r="F3" i="56"/>
  <c r="F3" i="63" s="1"/>
  <c r="F2" i="56"/>
  <c r="F5" i="57" l="1"/>
  <c r="D33" i="84"/>
  <c r="F4" i="92"/>
  <c r="E32" i="92" s="1"/>
  <c r="F5" i="92"/>
  <c r="F4" i="85"/>
  <c r="F4" i="91"/>
  <c r="F4" i="70"/>
  <c r="H4" i="70" s="1"/>
  <c r="F6" i="70"/>
  <c r="F6" i="57"/>
  <c r="D18" i="92"/>
  <c r="F6" i="40"/>
  <c r="F4" i="89"/>
  <c r="F6" i="84"/>
  <c r="F28" i="87"/>
  <c r="F5" i="44"/>
  <c r="J33" i="84"/>
  <c r="J35" i="84" s="1"/>
  <c r="C69" i="92"/>
  <c r="F4" i="37"/>
  <c r="G98" i="91"/>
  <c r="J94" i="91"/>
  <c r="I90" i="91"/>
  <c r="L78" i="91"/>
  <c r="E45" i="91"/>
  <c r="F93" i="91"/>
  <c r="D90" i="91"/>
  <c r="C86" i="91"/>
  <c r="K81" i="91"/>
  <c r="G70" i="91"/>
  <c r="I48" i="91"/>
  <c r="L44" i="91"/>
  <c r="H81" i="91"/>
  <c r="E74" i="91"/>
  <c r="F70" i="91"/>
  <c r="C59" i="91"/>
  <c r="H38" i="91"/>
  <c r="K34" i="91"/>
  <c r="C31" i="91"/>
  <c r="D27" i="91"/>
  <c r="I65" i="91"/>
  <c r="E51" i="91"/>
  <c r="K29" i="91"/>
  <c r="D26" i="91"/>
  <c r="G23" i="91"/>
  <c r="E92" i="91"/>
  <c r="F95" i="91"/>
  <c r="I46" i="91"/>
  <c r="D79" i="91"/>
  <c r="D81" i="91"/>
  <c r="C77" i="91"/>
  <c r="I72" i="91"/>
  <c r="G61" i="91"/>
  <c r="I40" i="91"/>
  <c r="G37" i="91"/>
  <c r="H33" i="91"/>
  <c r="G68" i="91"/>
  <c r="C61" i="91"/>
  <c r="J46" i="91"/>
  <c r="E22" i="91"/>
  <c r="K99" i="91"/>
  <c r="D95" i="91"/>
  <c r="K90" i="91"/>
  <c r="E79" i="91"/>
  <c r="H46" i="91"/>
  <c r="D83" i="91"/>
  <c r="F100" i="91"/>
  <c r="C96" i="91"/>
  <c r="H92" i="91"/>
  <c r="L80" i="91"/>
  <c r="H57" i="91"/>
  <c r="H54" i="91"/>
  <c r="C91" i="91"/>
  <c r="F76" i="91"/>
  <c r="L67" i="91"/>
  <c r="F50" i="91"/>
  <c r="D75" i="91"/>
  <c r="I63" i="91"/>
  <c r="K23" i="91"/>
  <c r="C39" i="91"/>
  <c r="D55" i="91"/>
  <c r="D42" i="91"/>
  <c r="J56" i="91"/>
  <c r="I74" i="91"/>
  <c r="L97" i="91"/>
  <c r="I32" i="91"/>
  <c r="G81" i="91"/>
  <c r="D35" i="91"/>
  <c r="F3" i="86"/>
  <c r="F23" i="92"/>
  <c r="D39" i="92"/>
  <c r="G25" i="92"/>
  <c r="F53" i="92"/>
  <c r="F84" i="92"/>
  <c r="F6" i="91"/>
  <c r="N47" i="84"/>
  <c r="D68" i="83"/>
  <c r="D69" i="92"/>
  <c r="J41" i="84"/>
  <c r="D40" i="92"/>
  <c r="D67" i="83"/>
  <c r="D21" i="57"/>
  <c r="F7" i="56"/>
  <c r="F7" i="70" s="1"/>
  <c r="C15" i="92"/>
  <c r="F44" i="85" s="1"/>
  <c r="C30" i="92"/>
  <c r="E44" i="92"/>
  <c r="F60" i="92"/>
  <c r="E70" i="92"/>
  <c r="E85" i="92"/>
  <c r="F4" i="57"/>
  <c r="F4" i="65"/>
  <c r="D64" i="83"/>
  <c r="C70" i="92"/>
  <c r="C26" i="92"/>
  <c r="E40" i="92"/>
  <c r="G55" i="92"/>
  <c r="D70" i="92"/>
  <c r="D85" i="92"/>
  <c r="H7" i="56"/>
  <c r="D15" i="92"/>
  <c r="E30" i="92"/>
  <c r="F18" i="70" s="1"/>
  <c r="F17" i="70" s="1"/>
  <c r="F44" i="92"/>
  <c r="G60" i="92"/>
  <c r="D75" i="92"/>
  <c r="E89" i="92"/>
  <c r="F5" i="87"/>
  <c r="F43" i="85"/>
  <c r="F3" i="43"/>
  <c r="F3" i="70"/>
  <c r="C18" i="92"/>
  <c r="D32" i="92"/>
  <c r="D47" i="92"/>
  <c r="F61" i="92"/>
  <c r="G75" i="92"/>
  <c r="E92" i="92"/>
  <c r="F4" i="84"/>
  <c r="C23" i="92"/>
  <c r="E36" i="92"/>
  <c r="E52" i="92"/>
  <c r="F66" i="92"/>
  <c r="E78" i="92"/>
  <c r="D94" i="92"/>
  <c r="G5" i="78"/>
  <c r="L41" i="84"/>
  <c r="L47" i="84"/>
  <c r="F64" i="37"/>
  <c r="H16" i="49"/>
  <c r="F17" i="47"/>
  <c r="F16" i="37"/>
  <c r="F21" i="42"/>
  <c r="F2" i="90"/>
  <c r="F2" i="43"/>
  <c r="F2" i="41"/>
  <c r="F2" i="71"/>
  <c r="F2" i="65"/>
  <c r="F2" i="44"/>
  <c r="H2" i="82"/>
  <c r="F2" i="47"/>
  <c r="F2" i="84"/>
  <c r="F2" i="87"/>
  <c r="F2" i="79"/>
  <c r="F2" i="83"/>
  <c r="F2" i="49"/>
  <c r="F2" i="63"/>
  <c r="F2" i="69"/>
  <c r="H2" i="72"/>
  <c r="F2" i="42"/>
  <c r="F2" i="67"/>
  <c r="G2" i="78"/>
  <c r="F2" i="50"/>
  <c r="F2" i="40"/>
  <c r="F2" i="37"/>
  <c r="F2" i="57"/>
  <c r="F2" i="70"/>
  <c r="F2" i="91"/>
  <c r="F2" i="86"/>
  <c r="F2" i="48"/>
  <c r="F2" i="66"/>
  <c r="F2" i="85"/>
  <c r="F2" i="62"/>
  <c r="F2" i="46"/>
  <c r="F2" i="92"/>
  <c r="F2" i="89"/>
  <c r="F2" i="64"/>
  <c r="F37" i="48"/>
  <c r="F2" i="61"/>
  <c r="F18" i="92"/>
  <c r="C27" i="92"/>
  <c r="G34" i="92"/>
  <c r="D41" i="92"/>
  <c r="D49" i="92"/>
  <c r="E56" i="92"/>
  <c r="D64" i="92"/>
  <c r="F70" i="92"/>
  <c r="C79" i="92"/>
  <c r="C88" i="92"/>
  <c r="F19" i="40"/>
  <c r="F51" i="40"/>
  <c r="H24" i="47"/>
  <c r="G18" i="92"/>
  <c r="D27" i="92"/>
  <c r="D35" i="92"/>
  <c r="E43" i="92"/>
  <c r="E49" i="92"/>
  <c r="G57" i="92"/>
  <c r="E64" i="92"/>
  <c r="G70" i="92"/>
  <c r="D79" i="92"/>
  <c r="E88" i="92"/>
  <c r="F42" i="37"/>
  <c r="F58" i="37"/>
  <c r="H51" i="40"/>
  <c r="C21" i="92"/>
  <c r="F43" i="92"/>
  <c r="D65" i="92"/>
  <c r="N42" i="84"/>
  <c r="N41" i="84"/>
  <c r="N32" i="84"/>
  <c r="N43" i="84" s="1"/>
  <c r="F23" i="48"/>
  <c r="F28" i="37"/>
  <c r="F24" i="37"/>
  <c r="H43" i="40"/>
  <c r="H21" i="46"/>
  <c r="H23" i="46" s="1"/>
  <c r="G23" i="46"/>
  <c r="H22" i="46" s="1"/>
  <c r="F18" i="40"/>
  <c r="G16" i="44"/>
  <c r="H15" i="44" s="1"/>
  <c r="H14" i="44"/>
  <c r="H16" i="44" s="1"/>
  <c r="G93" i="92"/>
  <c r="E91" i="92"/>
  <c r="C89" i="92"/>
  <c r="F86" i="92"/>
  <c r="D84" i="92"/>
  <c r="G81" i="92"/>
  <c r="E79" i="92"/>
  <c r="C77" i="92"/>
  <c r="F74" i="92"/>
  <c r="G92" i="92"/>
  <c r="D90" i="92"/>
  <c r="F87" i="92"/>
  <c r="C85" i="92"/>
  <c r="E82" i="92"/>
  <c r="G79" i="92"/>
  <c r="D77" i="92"/>
  <c r="E74" i="92"/>
  <c r="C72" i="92"/>
  <c r="F69" i="92"/>
  <c r="D67" i="92"/>
  <c r="G64" i="92"/>
  <c r="E62" i="92"/>
  <c r="C60" i="92"/>
  <c r="F57" i="92"/>
  <c r="D55" i="92"/>
  <c r="G52" i="92"/>
  <c r="E50" i="92"/>
  <c r="C48" i="92"/>
  <c r="F45" i="92"/>
  <c r="D43" i="92"/>
  <c r="G40" i="92"/>
  <c r="E38" i="92"/>
  <c r="C36" i="92"/>
  <c r="F33" i="92"/>
  <c r="D31" i="92"/>
  <c r="G28" i="92"/>
  <c r="E26" i="92"/>
  <c r="C24" i="92"/>
  <c r="F21" i="92"/>
  <c r="D19" i="92"/>
  <c r="G16" i="92"/>
  <c r="F92" i="92"/>
  <c r="C90" i="92"/>
  <c r="E87" i="92"/>
  <c r="G84" i="92"/>
  <c r="D82" i="92"/>
  <c r="F79" i="92"/>
  <c r="G76" i="92"/>
  <c r="D74" i="92"/>
  <c r="G71" i="92"/>
  <c r="E69" i="92"/>
  <c r="C67" i="92"/>
  <c r="F64" i="92"/>
  <c r="D62" i="92"/>
  <c r="G59" i="92"/>
  <c r="E57" i="92"/>
  <c r="C55" i="92"/>
  <c r="F52" i="92"/>
  <c r="D50" i="92"/>
  <c r="G47" i="92"/>
  <c r="E45" i="92"/>
  <c r="C43" i="92"/>
  <c r="F40" i="92"/>
  <c r="D38" i="92"/>
  <c r="G35" i="92"/>
  <c r="E33" i="92"/>
  <c r="C31" i="92"/>
  <c r="F28" i="92"/>
  <c r="D26" i="92"/>
  <c r="G23" i="92"/>
  <c r="E21" i="92"/>
  <c r="C19" i="92"/>
  <c r="F16" i="92"/>
  <c r="F93" i="92"/>
  <c r="F90" i="92"/>
  <c r="D87" i="92"/>
  <c r="C84" i="92"/>
  <c r="C81" i="92"/>
  <c r="C78" i="92"/>
  <c r="C75" i="92"/>
  <c r="F71" i="92"/>
  <c r="G68" i="92"/>
  <c r="C66" i="92"/>
  <c r="D63" i="92"/>
  <c r="E60" i="92"/>
  <c r="D57" i="92"/>
  <c r="E54" i="92"/>
  <c r="F51" i="92"/>
  <c r="G48" i="92"/>
  <c r="C46" i="92"/>
  <c r="G42" i="92"/>
  <c r="C40" i="92"/>
  <c r="D37" i="92"/>
  <c r="E34" i="92"/>
  <c r="F31" i="92"/>
  <c r="E28" i="92"/>
  <c r="F25" i="92"/>
  <c r="G22" i="92"/>
  <c r="C20" i="92"/>
  <c r="D17" i="92"/>
  <c r="E90" i="92"/>
  <c r="F68" i="92"/>
  <c r="C63" i="92"/>
  <c r="C57" i="92"/>
  <c r="E51" i="92"/>
  <c r="F48" i="92"/>
  <c r="G45" i="92"/>
  <c r="F42" i="92"/>
  <c r="C37" i="92"/>
  <c r="D34" i="92"/>
  <c r="E31" i="92"/>
  <c r="D28" i="92"/>
  <c r="F22" i="92"/>
  <c r="G19" i="92"/>
  <c r="C17" i="92"/>
  <c r="G89" i="92"/>
  <c r="C74" i="92"/>
  <c r="E68" i="92"/>
  <c r="F65" i="92"/>
  <c r="F59" i="92"/>
  <c r="C54" i="92"/>
  <c r="E48" i="92"/>
  <c r="D45" i="92"/>
  <c r="F39" i="92"/>
  <c r="G36" i="92"/>
  <c r="C34" i="92"/>
  <c r="C28" i="92"/>
  <c r="E22" i="92"/>
  <c r="F19" i="92"/>
  <c r="E93" i="92"/>
  <c r="C87" i="92"/>
  <c r="G83" i="92"/>
  <c r="G80" i="92"/>
  <c r="G77" i="92"/>
  <c r="G74" i="92"/>
  <c r="E71" i="92"/>
  <c r="G65" i="92"/>
  <c r="D60" i="92"/>
  <c r="D54" i="92"/>
  <c r="G39" i="92"/>
  <c r="E25" i="92"/>
  <c r="F77" i="92"/>
  <c r="D51" i="92"/>
  <c r="D25" i="92"/>
  <c r="D93" i="92"/>
  <c r="G86" i="92"/>
  <c r="F83" i="92"/>
  <c r="F80" i="92"/>
  <c r="D71" i="92"/>
  <c r="G62" i="92"/>
  <c r="G56" i="92"/>
  <c r="E42" i="92"/>
  <c r="G30" i="92"/>
  <c r="E16" i="92"/>
  <c r="C93" i="92"/>
  <c r="F89" i="92"/>
  <c r="E86" i="92"/>
  <c r="E83" i="92"/>
  <c r="E80" i="92"/>
  <c r="E77" i="92"/>
  <c r="G73" i="92"/>
  <c r="C71" i="92"/>
  <c r="D68" i="92"/>
  <c r="E65" i="92"/>
  <c r="F62" i="92"/>
  <c r="E59" i="92"/>
  <c r="F56" i="92"/>
  <c r="G53" i="92"/>
  <c r="C51" i="92"/>
  <c r="D48" i="92"/>
  <c r="C45" i="92"/>
  <c r="D42" i="92"/>
  <c r="E39" i="92"/>
  <c r="F36" i="92"/>
  <c r="G33" i="92"/>
  <c r="F30" i="92"/>
  <c r="G27" i="92"/>
  <c r="C25" i="92"/>
  <c r="D22" i="92"/>
  <c r="E19" i="92"/>
  <c r="D16" i="92"/>
  <c r="F91" i="92"/>
  <c r="D86" i="92"/>
  <c r="C82" i="92"/>
  <c r="F76" i="92"/>
  <c r="G72" i="92"/>
  <c r="C68" i="92"/>
  <c r="C64" i="92"/>
  <c r="D59" i="92"/>
  <c r="F55" i="92"/>
  <c r="G50" i="92"/>
  <c r="G46" i="92"/>
  <c r="C42" i="92"/>
  <c r="C38" i="92"/>
  <c r="D33" i="92"/>
  <c r="F29" i="92"/>
  <c r="G24" i="92"/>
  <c r="G20" i="92"/>
  <c r="C16" i="92"/>
  <c r="F46" i="92"/>
  <c r="E81" i="92"/>
  <c r="G54" i="92"/>
  <c r="G32" i="92"/>
  <c r="E20" i="92"/>
  <c r="F54" i="92"/>
  <c r="D24" i="92"/>
  <c r="F94" i="92"/>
  <c r="D91" i="92"/>
  <c r="C86" i="92"/>
  <c r="F81" i="92"/>
  <c r="E76" i="92"/>
  <c r="F72" i="92"/>
  <c r="G67" i="92"/>
  <c r="G63" i="92"/>
  <c r="C59" i="92"/>
  <c r="E55" i="92"/>
  <c r="F50" i="92"/>
  <c r="G41" i="92"/>
  <c r="G37" i="92"/>
  <c r="C33" i="92"/>
  <c r="E29" i="92"/>
  <c r="F24" i="92"/>
  <c r="F20" i="92"/>
  <c r="G15" i="92"/>
  <c r="C91" i="92"/>
  <c r="G85" i="92"/>
  <c r="D76" i="92"/>
  <c r="E72" i="92"/>
  <c r="F67" i="92"/>
  <c r="F63" i="92"/>
  <c r="G58" i="92"/>
  <c r="C50" i="92"/>
  <c r="E46" i="92"/>
  <c r="F41" i="92"/>
  <c r="F37" i="92"/>
  <c r="D29" i="92"/>
  <c r="E24" i="92"/>
  <c r="F15" i="92"/>
  <c r="E67" i="92"/>
  <c r="E41" i="92"/>
  <c r="C29" i="92"/>
  <c r="E15" i="92"/>
  <c r="G94" i="92"/>
  <c r="G90" i="92"/>
  <c r="F85" i="92"/>
  <c r="D81" i="92"/>
  <c r="C76" i="92"/>
  <c r="D72" i="92"/>
  <c r="E63" i="92"/>
  <c r="F58" i="92"/>
  <c r="G49" i="92"/>
  <c r="D46" i="92"/>
  <c r="E37" i="92"/>
  <c r="F32" i="92"/>
  <c r="D20" i="92"/>
  <c r="D92" i="92"/>
  <c r="D88" i="92"/>
  <c r="C83" i="92"/>
  <c r="F78" i="92"/>
  <c r="E73" i="92"/>
  <c r="G69" i="92"/>
  <c r="C65" i="92"/>
  <c r="C61" i="92"/>
  <c r="D56" i="92"/>
  <c r="D52" i="92"/>
  <c r="E47" i="92"/>
  <c r="G43" i="92"/>
  <c r="C39" i="92"/>
  <c r="C35" i="92"/>
  <c r="D30" i="92"/>
  <c r="F26" i="92"/>
  <c r="G21" i="92"/>
  <c r="G17" i="92"/>
  <c r="E18" i="92"/>
  <c r="G26" i="92"/>
  <c r="F34" i="92"/>
  <c r="C41" i="92"/>
  <c r="C49" i="92"/>
  <c r="C56" i="92"/>
  <c r="C62" i="92"/>
  <c r="G78" i="92"/>
  <c r="G87" i="92"/>
  <c r="E94" i="92"/>
  <c r="E27" i="92"/>
  <c r="E35" i="92"/>
  <c r="F49" i="92"/>
  <c r="C58" i="92"/>
  <c r="C73" i="92"/>
  <c r="C80" i="92"/>
  <c r="F31" i="37"/>
  <c r="H20" i="47"/>
  <c r="I19" i="69"/>
  <c r="G7" i="78"/>
  <c r="F7" i="64"/>
  <c r="F7" i="61"/>
  <c r="F7" i="89"/>
  <c r="F7" i="87"/>
  <c r="F7" i="86"/>
  <c r="F7" i="63"/>
  <c r="F7" i="62"/>
  <c r="F7" i="47"/>
  <c r="F7" i="91"/>
  <c r="D21" i="92"/>
  <c r="F27" i="92"/>
  <c r="F35" i="92"/>
  <c r="C44" i="92"/>
  <c r="G51" i="92"/>
  <c r="D58" i="92"/>
  <c r="D66" i="92"/>
  <c r="D73" i="92"/>
  <c r="D80" i="92"/>
  <c r="G88" i="92"/>
  <c r="F27" i="37"/>
  <c r="F51" i="37"/>
  <c r="F15" i="40"/>
  <c r="F26" i="40"/>
  <c r="F52" i="84"/>
  <c r="E59" i="40"/>
  <c r="F46" i="40"/>
  <c r="F39" i="40"/>
  <c r="F28" i="40"/>
  <c r="F21" i="40"/>
  <c r="F52" i="40"/>
  <c r="F45" i="40"/>
  <c r="F34" i="40"/>
  <c r="F27" i="40"/>
  <c r="F16" i="40"/>
  <c r="F42" i="40"/>
  <c r="F49" i="40"/>
  <c r="F54" i="40"/>
  <c r="F37" i="40"/>
  <c r="F33" i="40"/>
  <c r="F24" i="40"/>
  <c r="H24" i="48"/>
  <c r="H18" i="40"/>
  <c r="H39" i="40"/>
  <c r="C22" i="92"/>
  <c r="G29" i="92"/>
  <c r="D36" i="92"/>
  <c r="D44" i="92"/>
  <c r="C52" i="92"/>
  <c r="E58" i="92"/>
  <c r="E66" i="92"/>
  <c r="F73" i="92"/>
  <c r="F82" i="92"/>
  <c r="D89" i="92"/>
  <c r="F19" i="37"/>
  <c r="F31" i="40"/>
  <c r="F53" i="40"/>
  <c r="H29" i="40"/>
  <c r="F44" i="40"/>
  <c r="F15" i="41"/>
  <c r="E16" i="41"/>
  <c r="H15" i="41"/>
  <c r="H20" i="49"/>
  <c r="F49" i="37"/>
  <c r="H15" i="40"/>
  <c r="F25" i="40"/>
  <c r="F35" i="40"/>
  <c r="F18" i="42"/>
  <c r="H15" i="47"/>
  <c r="F24" i="48"/>
  <c r="F15" i="50"/>
  <c r="E42" i="48"/>
  <c r="F34" i="48" s="1"/>
  <c r="F27" i="48"/>
  <c r="H22" i="40"/>
  <c r="H14" i="43"/>
  <c r="H15" i="43"/>
  <c r="F16" i="48"/>
  <c r="H44" i="84"/>
  <c r="F3" i="79"/>
  <c r="G3" i="78"/>
  <c r="F3" i="50"/>
  <c r="H3" i="72"/>
  <c r="F3" i="90"/>
  <c r="F3" i="69"/>
  <c r="F3" i="64"/>
  <c r="F3" i="44"/>
  <c r="F3" i="42"/>
  <c r="F3" i="49"/>
  <c r="F3" i="41"/>
  <c r="H3" i="82"/>
  <c r="F3" i="89"/>
  <c r="F3" i="83"/>
  <c r="F3" i="71"/>
  <c r="F3" i="85"/>
  <c r="F3" i="65"/>
  <c r="F3" i="48"/>
  <c r="F3" i="84"/>
  <c r="F3" i="46"/>
  <c r="F3" i="62"/>
  <c r="F3" i="37"/>
  <c r="F3" i="67"/>
  <c r="F3" i="66"/>
  <c r="H6" i="56"/>
  <c r="F3" i="47"/>
  <c r="F3" i="61"/>
  <c r="F3" i="57"/>
  <c r="F47" i="40"/>
  <c r="F30" i="42"/>
  <c r="F3" i="91"/>
  <c r="F63" i="37"/>
  <c r="F3" i="40"/>
  <c r="G55" i="40"/>
  <c r="H54" i="40" s="1"/>
  <c r="F23" i="40"/>
  <c r="H37" i="48"/>
  <c r="F38" i="48"/>
  <c r="H32" i="40"/>
  <c r="F3" i="92"/>
  <c r="F3" i="87"/>
  <c r="F22" i="87"/>
  <c r="D52" i="84"/>
  <c r="D35" i="84"/>
  <c r="F52" i="37"/>
  <c r="H14" i="40"/>
  <c r="H33" i="40"/>
  <c r="F22" i="42"/>
  <c r="G16" i="46"/>
  <c r="H15" i="46" s="1"/>
  <c r="I100" i="91"/>
  <c r="G99" i="91"/>
  <c r="E98" i="91"/>
  <c r="C98" i="91"/>
  <c r="J96" i="91"/>
  <c r="D94" i="91"/>
  <c r="K92" i="91"/>
  <c r="I91" i="91"/>
  <c r="G90" i="91"/>
  <c r="G84" i="91"/>
  <c r="E83" i="91"/>
  <c r="C82" i="91"/>
  <c r="G78" i="91"/>
  <c r="E77" i="91"/>
  <c r="C70" i="91"/>
  <c r="K68" i="91"/>
  <c r="I67" i="91"/>
  <c r="G66" i="91"/>
  <c r="E65" i="91"/>
  <c r="C64" i="91"/>
  <c r="K62" i="91"/>
  <c r="G54" i="91"/>
  <c r="E53" i="91"/>
  <c r="K50" i="91"/>
  <c r="I49" i="91"/>
  <c r="G48" i="91"/>
  <c r="E47" i="91"/>
  <c r="E41" i="91"/>
  <c r="C40" i="91"/>
  <c r="K38" i="91"/>
  <c r="E35" i="91"/>
  <c r="C34" i="91"/>
  <c r="K26" i="91"/>
  <c r="I25" i="91"/>
  <c r="G24" i="91"/>
  <c r="E23" i="91"/>
  <c r="C22" i="91"/>
  <c r="I99" i="91"/>
  <c r="D98" i="91"/>
  <c r="H88" i="91"/>
  <c r="E87" i="91"/>
  <c r="I84" i="91"/>
  <c r="F83" i="91"/>
  <c r="L81" i="91"/>
  <c r="I80" i="91"/>
  <c r="D74" i="91"/>
  <c r="K72" i="91"/>
  <c r="H71" i="91"/>
  <c r="H67" i="91"/>
  <c r="E66" i="91"/>
  <c r="L93" i="91"/>
  <c r="F92" i="91"/>
  <c r="L90" i="91"/>
  <c r="H89" i="91"/>
  <c r="D88" i="91"/>
  <c r="I86" i="91"/>
  <c r="E85" i="91"/>
  <c r="E75" i="91"/>
  <c r="K73" i="91"/>
  <c r="L70" i="91"/>
  <c r="H69" i="91"/>
  <c r="D68" i="91"/>
  <c r="J66" i="91"/>
  <c r="L59" i="91"/>
  <c r="I58" i="91"/>
  <c r="F57" i="91"/>
  <c r="G53" i="91"/>
  <c r="D52" i="91"/>
  <c r="E44" i="91"/>
  <c r="L99" i="91"/>
  <c r="F98" i="91"/>
  <c r="G96" i="91"/>
  <c r="K94" i="91"/>
  <c r="D93" i="91"/>
  <c r="H91" i="91"/>
  <c r="H80" i="91"/>
  <c r="C79" i="91"/>
  <c r="L75" i="91"/>
  <c r="G74" i="91"/>
  <c r="L72" i="91"/>
  <c r="F71" i="91"/>
  <c r="H63" i="91"/>
  <c r="D62" i="91"/>
  <c r="J60" i="91"/>
  <c r="G56" i="91"/>
  <c r="C55" i="91"/>
  <c r="E49" i="91"/>
  <c r="G46" i="91"/>
  <c r="C45" i="91"/>
  <c r="H43" i="91"/>
  <c r="E42" i="91"/>
  <c r="L40" i="91"/>
  <c r="I39" i="91"/>
  <c r="D33" i="91"/>
  <c r="H30" i="91"/>
  <c r="K27" i="91"/>
  <c r="H26" i="91"/>
  <c r="E25" i="91"/>
  <c r="I22" i="91"/>
  <c r="E21" i="91"/>
  <c r="E99" i="91"/>
  <c r="J93" i="91"/>
  <c r="C87" i="91"/>
  <c r="D85" i="91"/>
  <c r="J81" i="91"/>
  <c r="D80" i="91"/>
  <c r="H78" i="91"/>
  <c r="F73" i="91"/>
  <c r="L69" i="91"/>
  <c r="F68" i="91"/>
  <c r="H66" i="91"/>
  <c r="J61" i="91"/>
  <c r="D60" i="91"/>
  <c r="L53" i="91"/>
  <c r="L50" i="91"/>
  <c r="D49" i="91"/>
  <c r="I47" i="91"/>
  <c r="D46" i="91"/>
  <c r="H44" i="91"/>
  <c r="C43" i="91"/>
  <c r="F37" i="91"/>
  <c r="H34" i="91"/>
  <c r="D30" i="91"/>
  <c r="J28" i="91"/>
  <c r="F27" i="91"/>
  <c r="H24" i="91"/>
  <c r="C23" i="91"/>
  <c r="H21" i="91"/>
  <c r="D99" i="91"/>
  <c r="E90" i="91"/>
  <c r="I88" i="91"/>
  <c r="C85" i="91"/>
  <c r="G83" i="91"/>
  <c r="I81" i="91"/>
  <c r="C80" i="91"/>
  <c r="F78" i="91"/>
  <c r="L74" i="91"/>
  <c r="E73" i="91"/>
  <c r="F66" i="91"/>
  <c r="I64" i="91"/>
  <c r="H61" i="91"/>
  <c r="C60" i="91"/>
  <c r="G58" i="91"/>
  <c r="F55" i="91"/>
  <c r="K53" i="91"/>
  <c r="H50" i="91"/>
  <c r="C49" i="91"/>
  <c r="G44" i="91"/>
  <c r="L42" i="91"/>
  <c r="D40" i="91"/>
  <c r="E37" i="91"/>
  <c r="K35" i="91"/>
  <c r="G31" i="91"/>
  <c r="C30" i="91"/>
  <c r="I28" i="91"/>
  <c r="E27" i="91"/>
  <c r="G21" i="91"/>
  <c r="H100" i="91"/>
  <c r="C95" i="91"/>
  <c r="G91" i="91"/>
  <c r="J89" i="91"/>
  <c r="L87" i="91"/>
  <c r="F86" i="91"/>
  <c r="J84" i="91"/>
  <c r="L82" i="91"/>
  <c r="E76" i="91"/>
  <c r="H74" i="91"/>
  <c r="F69" i="91"/>
  <c r="J67" i="91"/>
  <c r="L65" i="91"/>
  <c r="F64" i="91"/>
  <c r="J62" i="91"/>
  <c r="D61" i="91"/>
  <c r="I59" i="91"/>
  <c r="J51" i="91"/>
  <c r="E50" i="91"/>
  <c r="D47" i="91"/>
  <c r="I45" i="91"/>
  <c r="C44" i="91"/>
  <c r="I42" i="91"/>
  <c r="D41" i="91"/>
  <c r="E38" i="91"/>
  <c r="K36" i="91"/>
  <c r="F38" i="85" s="1"/>
  <c r="J29" i="91"/>
  <c r="F28" i="91"/>
  <c r="C24" i="91"/>
  <c r="G22" i="91"/>
  <c r="E26" i="91"/>
  <c r="C32" i="91"/>
  <c r="I35" i="91"/>
  <c r="J49" i="91"/>
  <c r="C62" i="91"/>
  <c r="F34" i="85"/>
  <c r="H34" i="85" s="1"/>
  <c r="C27" i="84"/>
  <c r="D41" i="84"/>
  <c r="D44" i="84" s="1"/>
  <c r="F46" i="37"/>
  <c r="H28" i="40"/>
  <c r="H40" i="40"/>
  <c r="F39" i="48"/>
  <c r="F20" i="50"/>
  <c r="H4" i="72"/>
  <c r="F4" i="64"/>
  <c r="F4" i="61"/>
  <c r="F4" i="71"/>
  <c r="F4" i="50"/>
  <c r="F4" i="63"/>
  <c r="H4" i="82"/>
  <c r="F4" i="66"/>
  <c r="F4" i="47"/>
  <c r="F4" i="79"/>
  <c r="F4" i="48"/>
  <c r="F4" i="83"/>
  <c r="F4" i="46"/>
  <c r="F4" i="42"/>
  <c r="F4" i="86"/>
  <c r="F4" i="69"/>
  <c r="F4" i="90"/>
  <c r="F4" i="40"/>
  <c r="F4" i="87"/>
  <c r="F4" i="67"/>
  <c r="F4" i="49"/>
  <c r="F4" i="44"/>
  <c r="F4" i="43"/>
  <c r="F4" i="41"/>
  <c r="F5" i="70"/>
  <c r="F6" i="92"/>
  <c r="F5" i="86"/>
  <c r="F26" i="91"/>
  <c r="E28" i="91"/>
  <c r="D32" i="91"/>
  <c r="C36" i="91"/>
  <c r="K37" i="91"/>
  <c r="J41" i="91"/>
  <c r="G43" i="91"/>
  <c r="G45" i="91"/>
  <c r="J47" i="91"/>
  <c r="C54" i="91"/>
  <c r="L55" i="91"/>
  <c r="E62" i="91"/>
  <c r="K66" i="91"/>
  <c r="J68" i="91"/>
  <c r="K70" i="91"/>
  <c r="G73" i="91"/>
  <c r="I75" i="91"/>
  <c r="J77" i="91"/>
  <c r="D87" i="91"/>
  <c r="D89" i="91"/>
  <c r="E96" i="91"/>
  <c r="J98" i="91"/>
  <c r="F5" i="84"/>
  <c r="H26" i="37"/>
  <c r="H39" i="37"/>
  <c r="H49" i="37"/>
  <c r="H62" i="37"/>
  <c r="F29" i="40"/>
  <c r="F41" i="40"/>
  <c r="F4" i="62"/>
  <c r="F6" i="46"/>
  <c r="H19" i="48"/>
  <c r="L32" i="84"/>
  <c r="L43" i="84" s="1"/>
  <c r="H33" i="84"/>
  <c r="H27" i="42"/>
  <c r="H27" i="47"/>
  <c r="F5" i="65"/>
  <c r="F16" i="69"/>
  <c r="J22" i="91"/>
  <c r="J45" i="91"/>
  <c r="K51" i="91"/>
  <c r="F60" i="91"/>
  <c r="G64" i="91"/>
  <c r="C69" i="91"/>
  <c r="D71" i="91"/>
  <c r="J75" i="91"/>
  <c r="F80" i="91"/>
  <c r="F87" i="91"/>
  <c r="F96" i="91"/>
  <c r="K22" i="91"/>
  <c r="L39" i="91"/>
  <c r="K43" i="91"/>
  <c r="C50" i="91"/>
  <c r="E54" i="91"/>
  <c r="F58" i="91"/>
  <c r="H64" i="91"/>
  <c r="C67" i="91"/>
  <c r="K75" i="91"/>
  <c r="E78" i="91"/>
  <c r="J82" i="91"/>
  <c r="G87" i="91"/>
  <c r="G89" i="91"/>
  <c r="K91" i="91"/>
  <c r="H96" i="91"/>
  <c r="C99" i="91"/>
  <c r="F32" i="84"/>
  <c r="F43" i="84" s="1"/>
  <c r="F44" i="84" s="1"/>
  <c r="F37" i="37"/>
  <c r="F17" i="40"/>
  <c r="F21" i="50"/>
  <c r="E24" i="91"/>
  <c r="J37" i="91"/>
  <c r="G41" i="91"/>
  <c r="F45" i="91"/>
  <c r="H51" i="91"/>
  <c r="J53" i="91"/>
  <c r="K55" i="91"/>
  <c r="J57" i="91"/>
  <c r="D66" i="91"/>
  <c r="I68" i="91"/>
  <c r="D73" i="91"/>
  <c r="H75" i="91"/>
  <c r="L79" i="91"/>
  <c r="F84" i="91"/>
  <c r="H86" i="91"/>
  <c r="C89" i="91"/>
  <c r="E91" i="91"/>
  <c r="H98" i="91"/>
  <c r="H5" i="72"/>
  <c r="F5" i="64"/>
  <c r="F5" i="61"/>
  <c r="F5" i="67"/>
  <c r="F5" i="48"/>
  <c r="F5" i="40"/>
  <c r="F5" i="46"/>
  <c r="F5" i="37"/>
  <c r="F5" i="85"/>
  <c r="F5" i="83"/>
  <c r="F5" i="90"/>
  <c r="H5" i="82"/>
  <c r="F5" i="89"/>
  <c r="F5" i="50"/>
  <c r="F5" i="41"/>
  <c r="F5" i="42"/>
  <c r="F5" i="69"/>
  <c r="F5" i="71"/>
  <c r="F5" i="49"/>
  <c r="F5" i="47"/>
  <c r="F5" i="63"/>
  <c r="F5" i="66"/>
  <c r="F5" i="79"/>
  <c r="F5" i="91"/>
  <c r="J24" i="91"/>
  <c r="G28" i="91"/>
  <c r="D34" i="91"/>
  <c r="D36" i="91"/>
  <c r="K39" i="91"/>
  <c r="J43" i="91"/>
  <c r="L47" i="91"/>
  <c r="L49" i="91"/>
  <c r="E58" i="91"/>
  <c r="F62" i="91"/>
  <c r="L66" i="91"/>
  <c r="I82" i="91"/>
  <c r="F89" i="91"/>
  <c r="L98" i="91"/>
  <c r="F40" i="37"/>
  <c r="F6" i="69"/>
  <c r="F6" i="63"/>
  <c r="F6" i="62"/>
  <c r="F6" i="37"/>
  <c r="F6" i="89"/>
  <c r="F6" i="83"/>
  <c r="F6" i="90"/>
  <c r="F6" i="43"/>
  <c r="F6" i="41"/>
  <c r="F6" i="48"/>
  <c r="H6" i="82"/>
  <c r="F6" i="50"/>
  <c r="F6" i="61"/>
  <c r="F6" i="67"/>
  <c r="H6" i="72"/>
  <c r="G6" i="78"/>
  <c r="F6" i="65"/>
  <c r="F6" i="71"/>
  <c r="F6" i="49"/>
  <c r="F6" i="47"/>
  <c r="F6" i="66"/>
  <c r="F6" i="79"/>
  <c r="F6" i="64"/>
  <c r="F6" i="85"/>
  <c r="F6" i="87"/>
  <c r="C21" i="91"/>
  <c r="K24" i="91"/>
  <c r="I26" i="91"/>
  <c r="H28" i="91"/>
  <c r="F32" i="91"/>
  <c r="E34" i="91"/>
  <c r="L41" i="91"/>
  <c r="K45" i="91"/>
  <c r="C48" i="91"/>
  <c r="L51" i="91"/>
  <c r="E56" i="91"/>
  <c r="H60" i="91"/>
  <c r="D69" i="91"/>
  <c r="L84" i="91"/>
  <c r="F6" i="86"/>
  <c r="D21" i="91"/>
  <c r="J26" i="91"/>
  <c r="J30" i="91"/>
  <c r="G32" i="91"/>
  <c r="I34" i="91"/>
  <c r="F36" i="91"/>
  <c r="D38" i="91"/>
  <c r="F40" i="91"/>
  <c r="C42" i="91"/>
  <c r="L43" i="91"/>
  <c r="E46" i="91"/>
  <c r="D50" i="91"/>
  <c r="H52" i="91"/>
  <c r="F56" i="91"/>
  <c r="J58" i="91"/>
  <c r="I60" i="91"/>
  <c r="I62" i="91"/>
  <c r="K64" i="91"/>
  <c r="D67" i="91"/>
  <c r="E69" i="91"/>
  <c r="K71" i="91"/>
  <c r="D76" i="91"/>
  <c r="I78" i="91"/>
  <c r="J80" i="91"/>
  <c r="G85" i="91"/>
  <c r="H87" i="91"/>
  <c r="I89" i="91"/>
  <c r="D92" i="91"/>
  <c r="G94" i="91"/>
  <c r="K96" i="91"/>
  <c r="H99" i="91"/>
  <c r="L33" i="84"/>
  <c r="H17" i="37"/>
  <c r="H65" i="37" s="1"/>
  <c r="H30" i="37"/>
  <c r="F34" i="37"/>
  <c r="H40" i="37"/>
  <c r="H25" i="40"/>
  <c r="H46" i="40"/>
  <c r="F15" i="42"/>
  <c r="E31" i="42"/>
  <c r="F19" i="42" s="1"/>
  <c r="G28" i="47"/>
  <c r="H14" i="47"/>
  <c r="F25" i="48"/>
  <c r="F20" i="40"/>
  <c r="F38" i="40"/>
  <c r="G31" i="42"/>
  <c r="H20" i="42" s="1"/>
  <c r="H18" i="47"/>
  <c r="F17" i="48"/>
  <c r="F41" i="48"/>
  <c r="F23" i="49"/>
  <c r="D21" i="69"/>
  <c r="E17" i="69" s="1"/>
  <c r="D65" i="83"/>
  <c r="F23" i="47"/>
  <c r="F24" i="42"/>
  <c r="H23" i="47"/>
  <c r="H32" i="48"/>
  <c r="G29" i="49"/>
  <c r="F24" i="50"/>
  <c r="F32" i="48"/>
  <c r="F14" i="40"/>
  <c r="F32" i="40"/>
  <c r="F50" i="40"/>
  <c r="F14" i="44"/>
  <c r="F16" i="44" s="1"/>
  <c r="G42" i="48"/>
  <c r="H28" i="48" s="1"/>
  <c r="F19" i="48"/>
  <c r="F29" i="50"/>
  <c r="F26" i="48"/>
  <c r="F30" i="48"/>
  <c r="E29" i="49"/>
  <c r="E28" i="47"/>
  <c r="F35" i="48"/>
  <c r="F14" i="49"/>
  <c r="H25" i="49"/>
  <c r="F18" i="50"/>
  <c r="F17" i="69"/>
  <c r="H22" i="48"/>
  <c r="F20" i="69"/>
  <c r="E30" i="50"/>
  <c r="F23" i="50" s="1"/>
  <c r="F14" i="50"/>
  <c r="F14" i="69"/>
  <c r="H21" i="69"/>
  <c r="I14" i="69" s="1"/>
  <c r="H31" i="48"/>
  <c r="F36" i="48"/>
  <c r="H26" i="49"/>
  <c r="G30" i="50"/>
  <c r="H21" i="50" s="1"/>
  <c r="F14" i="48"/>
  <c r="F18" i="48"/>
  <c r="D69" i="83"/>
  <c r="D66" i="83"/>
  <c r="J32" i="84"/>
  <c r="J43" i="84" s="1"/>
  <c r="J44" i="84" s="1"/>
  <c r="H16" i="40"/>
  <c r="H26" i="47"/>
  <c r="E23" i="46"/>
  <c r="F21" i="46" s="1"/>
  <c r="F29" i="48"/>
  <c r="F27" i="50"/>
  <c r="E65" i="37"/>
  <c r="H19" i="40"/>
  <c r="H37" i="40"/>
  <c r="E16" i="46"/>
  <c r="F18" i="69"/>
  <c r="H7" i="61" l="1"/>
  <c r="H7" i="83"/>
  <c r="H7" i="91"/>
  <c r="L58" i="91"/>
  <c r="E67" i="91"/>
  <c r="F31" i="91"/>
  <c r="H23" i="91"/>
  <c r="J65" i="91"/>
  <c r="G59" i="91"/>
  <c r="K30" i="91"/>
  <c r="J21" i="91"/>
  <c r="F77" i="91"/>
  <c r="F51" i="91"/>
  <c r="J74" i="91"/>
  <c r="J31" i="91"/>
  <c r="C66" i="91"/>
  <c r="J23" i="91"/>
  <c r="E55" i="91"/>
  <c r="J92" i="91"/>
  <c r="F47" i="91"/>
  <c r="J87" i="91"/>
  <c r="G67" i="91"/>
  <c r="I57" i="91"/>
  <c r="L95" i="91"/>
  <c r="D43" i="91"/>
  <c r="F75" i="91"/>
  <c r="J32" i="91"/>
  <c r="L76" i="91"/>
  <c r="G33" i="91"/>
  <c r="K42" i="91"/>
  <c r="C25" i="91"/>
  <c r="J55" i="91"/>
  <c r="J34" i="91"/>
  <c r="K95" i="91"/>
  <c r="E89" i="91"/>
  <c r="K74" i="91"/>
  <c r="G60" i="91"/>
  <c r="C46" i="91"/>
  <c r="I31" i="91"/>
  <c r="E95" i="91"/>
  <c r="F79" i="91"/>
  <c r="D100" i="91"/>
  <c r="G82" i="91"/>
  <c r="F65" i="91"/>
  <c r="G49" i="91"/>
  <c r="G88" i="91"/>
  <c r="J69" i="91"/>
  <c r="E52" i="91"/>
  <c r="J35" i="91"/>
  <c r="H97" i="91"/>
  <c r="K76" i="91"/>
  <c r="C57" i="91"/>
  <c r="J38" i="91"/>
  <c r="G97" i="91"/>
  <c r="H76" i="91"/>
  <c r="L56" i="91"/>
  <c r="I38" i="91"/>
  <c r="K98" i="91"/>
  <c r="K77" i="91"/>
  <c r="D58" i="91"/>
  <c r="J39" i="91"/>
  <c r="D28" i="91"/>
  <c r="K33" i="91"/>
  <c r="L57" i="91"/>
  <c r="H84" i="91"/>
  <c r="F30" i="91"/>
  <c r="K84" i="91"/>
  <c r="G62" i="91"/>
  <c r="F94" i="91"/>
  <c r="G47" i="91"/>
  <c r="I77" i="91"/>
  <c r="E32" i="91"/>
  <c r="L77" i="91"/>
  <c r="E36" i="91"/>
  <c r="D23" i="91"/>
  <c r="E48" i="91"/>
  <c r="L73" i="91"/>
  <c r="C88" i="91"/>
  <c r="I73" i="91"/>
  <c r="E59" i="91"/>
  <c r="K44" i="91"/>
  <c r="G30" i="91"/>
  <c r="K93" i="91"/>
  <c r="C78" i="91"/>
  <c r="I98" i="91"/>
  <c r="C81" i="91"/>
  <c r="K63" i="91"/>
  <c r="D48" i="91"/>
  <c r="L86" i="91"/>
  <c r="E68" i="91"/>
  <c r="I50" i="91"/>
  <c r="G34" i="91"/>
  <c r="J95" i="91"/>
  <c r="C75" i="91"/>
  <c r="G55" i="91"/>
  <c r="I70" i="91"/>
  <c r="I27" i="91"/>
  <c r="C63" i="91"/>
  <c r="J97" i="91"/>
  <c r="G51" i="91"/>
  <c r="K88" i="91"/>
  <c r="F44" i="91"/>
  <c r="G79" i="91"/>
  <c r="G100" i="91"/>
  <c r="I54" i="91"/>
  <c r="K87" i="91"/>
  <c r="G40" i="91"/>
  <c r="C72" i="91"/>
  <c r="C29" i="91"/>
  <c r="H72" i="91"/>
  <c r="H29" i="91"/>
  <c r="I36" i="91"/>
  <c r="E39" i="91"/>
  <c r="C74" i="91"/>
  <c r="F48" i="91"/>
  <c r="I94" i="91"/>
  <c r="G38" i="91"/>
  <c r="F67" i="91"/>
  <c r="D24" i="91"/>
  <c r="D59" i="91"/>
  <c r="C93" i="91"/>
  <c r="H48" i="91"/>
  <c r="H85" i="91"/>
  <c r="J40" i="91"/>
  <c r="D72" i="91"/>
  <c r="E97" i="91"/>
  <c r="D51" i="91"/>
  <c r="C84" i="91"/>
  <c r="J36" i="91"/>
  <c r="K67" i="91"/>
  <c r="D25" i="91"/>
  <c r="H68" i="91"/>
  <c r="J25" i="91"/>
  <c r="F29" i="91"/>
  <c r="L52" i="91"/>
  <c r="I97" i="91"/>
  <c r="L61" i="91"/>
  <c r="G93" i="91"/>
  <c r="K86" i="91"/>
  <c r="G72" i="91"/>
  <c r="C58" i="91"/>
  <c r="I43" i="91"/>
  <c r="E29" i="91"/>
  <c r="G92" i="91"/>
  <c r="J76" i="91"/>
  <c r="D97" i="91"/>
  <c r="H79" i="91"/>
  <c r="H62" i="91"/>
  <c r="K46" i="91"/>
  <c r="F85" i="91"/>
  <c r="I66" i="91"/>
  <c r="L88" i="91"/>
  <c r="G63" i="91"/>
  <c r="I21" i="91"/>
  <c r="H55" i="91"/>
  <c r="L89" i="91"/>
  <c r="J44" i="91"/>
  <c r="E81" i="91"/>
  <c r="H37" i="91"/>
  <c r="L63" i="91"/>
  <c r="I92" i="91"/>
  <c r="C47" i="91"/>
  <c r="K79" i="91"/>
  <c r="G29" i="91"/>
  <c r="J63" i="91"/>
  <c r="K21" i="91"/>
  <c r="G65" i="91"/>
  <c r="F22" i="91"/>
  <c r="D22" i="91"/>
  <c r="H70" i="91"/>
  <c r="J27" i="91"/>
  <c r="D82" i="91"/>
  <c r="J100" i="91"/>
  <c r="I85" i="91"/>
  <c r="E71" i="91"/>
  <c r="K56" i="91"/>
  <c r="G42" i="91"/>
  <c r="C28" i="91"/>
  <c r="D91" i="91"/>
  <c r="G75" i="91"/>
  <c r="H95" i="91"/>
  <c r="D78" i="91"/>
  <c r="E61" i="91"/>
  <c r="H45" i="91"/>
  <c r="J83" i="91"/>
  <c r="C65" i="91"/>
  <c r="K47" i="91"/>
  <c r="K31" i="91"/>
  <c r="C92" i="91"/>
  <c r="J71" i="91"/>
  <c r="G52" i="91"/>
  <c r="C33" i="91"/>
  <c r="L91" i="91"/>
  <c r="I71" i="91"/>
  <c r="F52" i="91"/>
  <c r="F34" i="91"/>
  <c r="E93" i="91"/>
  <c r="J72" i="91"/>
  <c r="F53" i="91"/>
  <c r="G35" i="91"/>
  <c r="F43" i="91"/>
  <c r="H39" i="91"/>
  <c r="E64" i="91"/>
  <c r="F91" i="91"/>
  <c r="H59" i="91"/>
  <c r="K97" i="91"/>
  <c r="I52" i="91"/>
  <c r="K85" i="91"/>
  <c r="C41" i="91"/>
  <c r="D77" i="91"/>
  <c r="I33" i="91"/>
  <c r="D53" i="91"/>
  <c r="F88" i="91"/>
  <c r="D44" i="91"/>
  <c r="G76" i="91"/>
  <c r="H25" i="91"/>
  <c r="K60" i="91"/>
  <c r="L94" i="91"/>
  <c r="F61" i="91"/>
  <c r="C100" i="91"/>
  <c r="L100" i="91" s="1"/>
  <c r="J90" i="91"/>
  <c r="L92" i="91"/>
  <c r="H42" i="91"/>
  <c r="F21" i="91"/>
  <c r="H35" i="91"/>
  <c r="I44" i="91"/>
  <c r="E86" i="91"/>
  <c r="F42" i="91"/>
  <c r="J78" i="91"/>
  <c r="C35" i="91"/>
  <c r="K65" i="91"/>
  <c r="I23" i="91"/>
  <c r="K58" i="91"/>
  <c r="G57" i="91"/>
  <c r="J99" i="91"/>
  <c r="G69" i="91"/>
  <c r="C26" i="91"/>
  <c r="H53" i="91"/>
  <c r="I87" i="91"/>
  <c r="J42" i="91"/>
  <c r="E88" i="91"/>
  <c r="E43" i="91"/>
  <c r="L60" i="91"/>
  <c r="J52" i="91"/>
  <c r="H94" i="91"/>
  <c r="F46" i="91"/>
  <c r="D86" i="91"/>
  <c r="D45" i="91"/>
  <c r="C83" i="91"/>
  <c r="D39" i="91"/>
  <c r="F74" i="91"/>
  <c r="E31" i="91"/>
  <c r="L62" i="91"/>
  <c r="K100" i="91"/>
  <c r="K54" i="91"/>
  <c r="F33" i="91"/>
  <c r="G86" i="91"/>
  <c r="H65" i="91"/>
  <c r="F23" i="91"/>
  <c r="G50" i="91"/>
  <c r="I83" i="91"/>
  <c r="F39" i="91"/>
  <c r="D84" i="91"/>
  <c r="H40" i="91"/>
  <c r="E57" i="91"/>
  <c r="D70" i="91"/>
  <c r="H27" i="91"/>
  <c r="J59" i="91"/>
  <c r="K82" i="91"/>
  <c r="F54" i="91"/>
  <c r="K28" i="91"/>
  <c r="C38" i="91"/>
  <c r="H73" i="91"/>
  <c r="G26" i="91"/>
  <c r="J70" i="91"/>
  <c r="J33" i="91"/>
  <c r="G80" i="91"/>
  <c r="I30" i="91"/>
  <c r="D56" i="91"/>
  <c r="C94" i="91"/>
  <c r="E60" i="91"/>
  <c r="E30" i="91"/>
  <c r="G25" i="91"/>
  <c r="J48" i="91"/>
  <c r="C71" i="91"/>
  <c r="L96" i="91"/>
  <c r="H41" i="91"/>
  <c r="D63" i="91"/>
  <c r="J86" i="91"/>
  <c r="H31" i="91"/>
  <c r="H58" i="91"/>
  <c r="H83" i="91"/>
  <c r="D29" i="91"/>
  <c r="I53" i="91"/>
  <c r="H77" i="91"/>
  <c r="J50" i="91"/>
  <c r="F72" i="91"/>
  <c r="L64" i="91"/>
  <c r="L85" i="91"/>
  <c r="K32" i="91"/>
  <c r="C52" i="91"/>
  <c r="C76" i="91"/>
  <c r="G95" i="91"/>
  <c r="L71" i="91"/>
  <c r="L83" i="91"/>
  <c r="H36" i="91"/>
  <c r="D65" i="91"/>
  <c r="E84" i="91"/>
  <c r="K61" i="91"/>
  <c r="G77" i="91"/>
  <c r="F35" i="91"/>
  <c r="J85" i="91"/>
  <c r="K40" i="91"/>
  <c r="D37" i="91"/>
  <c r="H49" i="91"/>
  <c r="E72" i="91"/>
  <c r="F25" i="91"/>
  <c r="I69" i="91"/>
  <c r="G27" i="91"/>
  <c r="L48" i="91"/>
  <c r="K78" i="91"/>
  <c r="D96" i="91"/>
  <c r="D64" i="91"/>
  <c r="J73" i="91"/>
  <c r="E94" i="91"/>
  <c r="K41" i="91"/>
  <c r="H82" i="91"/>
  <c r="I51" i="91"/>
  <c r="I24" i="91"/>
  <c r="D31" i="91"/>
  <c r="L54" i="91"/>
  <c r="J79" i="91"/>
  <c r="F24" i="91"/>
  <c r="L45" i="91"/>
  <c r="C68" i="91"/>
  <c r="I93" i="91"/>
  <c r="E40" i="91"/>
  <c r="E63" i="91"/>
  <c r="J88" i="91"/>
  <c r="C37" i="91"/>
  <c r="K57" i="91"/>
  <c r="E82" i="91"/>
  <c r="J54" i="91"/>
  <c r="I76" i="91"/>
  <c r="L68" i="91"/>
  <c r="K89" i="91"/>
  <c r="G36" i="91"/>
  <c r="I55" i="91"/>
  <c r="I79" i="91"/>
  <c r="F99" i="91"/>
  <c r="F63" i="91"/>
  <c r="C27" i="91"/>
  <c r="L46" i="91"/>
  <c r="C53" i="91"/>
  <c r="E100" i="91"/>
  <c r="E33" i="91"/>
  <c r="C73" i="91"/>
  <c r="L38" i="91"/>
  <c r="K52" i="91"/>
  <c r="H29" i="87"/>
  <c r="D54" i="91"/>
  <c r="H93" i="91"/>
  <c r="K59" i="91"/>
  <c r="G71" i="91"/>
  <c r="J91" i="91"/>
  <c r="L37" i="91"/>
  <c r="E80" i="91"/>
  <c r="K49" i="91"/>
  <c r="H22" i="91"/>
  <c r="F82" i="91"/>
  <c r="H32" i="91"/>
  <c r="H56" i="91"/>
  <c r="F81" i="91"/>
  <c r="K25" i="91"/>
  <c r="H47" i="91"/>
  <c r="K69" i="91"/>
  <c r="I95" i="91"/>
  <c r="I41" i="91"/>
  <c r="J64" i="91"/>
  <c r="F90" i="91"/>
  <c r="F38" i="91"/>
  <c r="F59" i="91"/>
  <c r="C90" i="91"/>
  <c r="C56" i="91"/>
  <c r="K83" i="91"/>
  <c r="E70" i="91"/>
  <c r="I96" i="91"/>
  <c r="I37" i="91"/>
  <c r="I61" i="91"/>
  <c r="K80" i="91"/>
  <c r="C97" i="91"/>
  <c r="K48" i="91"/>
  <c r="H90" i="91"/>
  <c r="C51" i="91"/>
  <c r="D57" i="91"/>
  <c r="I29" i="91"/>
  <c r="G39" i="91"/>
  <c r="F97" i="91"/>
  <c r="F41" i="91"/>
  <c r="I56" i="91"/>
  <c r="F49" i="91"/>
  <c r="F88" i="92"/>
  <c r="G91" i="92"/>
  <c r="C47" i="92"/>
  <c r="G82" i="92"/>
  <c r="D78" i="92"/>
  <c r="E23" i="92"/>
  <c r="G61" i="92"/>
  <c r="E61" i="92"/>
  <c r="F17" i="92"/>
  <c r="D61" i="92"/>
  <c r="E17" i="92"/>
  <c r="C53" i="92"/>
  <c r="D83" i="92"/>
  <c r="G44" i="92"/>
  <c r="G38" i="92"/>
  <c r="F38" i="92"/>
  <c r="D23" i="92"/>
  <c r="F47" i="92"/>
  <c r="F75" i="92"/>
  <c r="C32" i="92"/>
  <c r="E75" i="92"/>
  <c r="G31" i="92"/>
  <c r="G66" i="92"/>
  <c r="C94" i="92"/>
  <c r="E84" i="92"/>
  <c r="C92" i="92"/>
  <c r="E53" i="92"/>
  <c r="D53" i="92"/>
  <c r="F7" i="85"/>
  <c r="F7" i="41"/>
  <c r="H7" i="86"/>
  <c r="H7" i="92"/>
  <c r="H7" i="65"/>
  <c r="H7" i="44"/>
  <c r="H7" i="71"/>
  <c r="J7" i="72"/>
  <c r="H7" i="46"/>
  <c r="F7" i="42"/>
  <c r="H7" i="43"/>
  <c r="H7" i="82"/>
  <c r="H7" i="64"/>
  <c r="H7" i="90"/>
  <c r="F7" i="79"/>
  <c r="H7" i="63"/>
  <c r="F7" i="65"/>
  <c r="H7" i="89"/>
  <c r="H7" i="69"/>
  <c r="H7" i="48"/>
  <c r="H7" i="72"/>
  <c r="F7" i="69"/>
  <c r="F7" i="44"/>
  <c r="H7" i="50"/>
  <c r="H7" i="49"/>
  <c r="H7" i="47"/>
  <c r="F7" i="67"/>
  <c r="F7" i="57"/>
  <c r="H7" i="70"/>
  <c r="F7" i="90"/>
  <c r="H7" i="87"/>
  <c r="F7" i="83"/>
  <c r="H7" i="84"/>
  <c r="H7" i="41"/>
  <c r="H7" i="67"/>
  <c r="F7" i="43"/>
  <c r="F7" i="84"/>
  <c r="F7" i="49"/>
  <c r="H7" i="37"/>
  <c r="J7" i="82"/>
  <c r="H7" i="40"/>
  <c r="F7" i="40"/>
  <c r="H7" i="57"/>
  <c r="H7" i="42"/>
  <c r="I7" i="78"/>
  <c r="F7" i="48"/>
  <c r="F7" i="37"/>
  <c r="F7" i="50"/>
  <c r="H7" i="66"/>
  <c r="F7" i="66"/>
  <c r="H7" i="62"/>
  <c r="H7" i="85"/>
  <c r="H7" i="79"/>
  <c r="F7" i="46"/>
  <c r="F7" i="92"/>
  <c r="F7" i="71"/>
  <c r="H18" i="50"/>
  <c r="H30" i="42"/>
  <c r="H35" i="84"/>
  <c r="H14" i="46"/>
  <c r="H16" i="46" s="1"/>
  <c r="J52" i="84"/>
  <c r="N52" i="84"/>
  <c r="E69" i="37"/>
  <c r="F47" i="37"/>
  <c r="F14" i="37"/>
  <c r="F53" i="37"/>
  <c r="F30" i="37"/>
  <c r="F23" i="37"/>
  <c r="F50" i="37"/>
  <c r="F17" i="37"/>
  <c r="F56" i="37"/>
  <c r="F20" i="37"/>
  <c r="F59" i="37"/>
  <c r="F26" i="37"/>
  <c r="F41" i="37"/>
  <c r="F44" i="37"/>
  <c r="F62" i="37"/>
  <c r="F29" i="37"/>
  <c r="F21" i="37"/>
  <c r="F35" i="37"/>
  <c r="F57" i="37"/>
  <c r="F38" i="37"/>
  <c r="F32" i="37"/>
  <c r="F15" i="37"/>
  <c r="H24" i="50"/>
  <c r="H15" i="49"/>
  <c r="H22" i="49"/>
  <c r="H18" i="49"/>
  <c r="H14" i="49"/>
  <c r="H21" i="49"/>
  <c r="H17" i="49"/>
  <c r="H19" i="49"/>
  <c r="H23" i="49"/>
  <c r="H27" i="49"/>
  <c r="H24" i="49"/>
  <c r="H28" i="49"/>
  <c r="F55" i="37"/>
  <c r="H21" i="48"/>
  <c r="F45" i="37"/>
  <c r="H17" i="48"/>
  <c r="F21" i="48"/>
  <c r="F16" i="41"/>
  <c r="G16" i="41" s="1"/>
  <c r="E17" i="41"/>
  <c r="H16" i="41"/>
  <c r="H17" i="42"/>
  <c r="H38" i="48"/>
  <c r="H14" i="48"/>
  <c r="I18" i="69"/>
  <c r="F21" i="69"/>
  <c r="G17" i="69" s="1"/>
  <c r="G14" i="69"/>
  <c r="H15" i="42"/>
  <c r="I16" i="69"/>
  <c r="H21" i="42"/>
  <c r="G18" i="69"/>
  <c r="H30" i="48"/>
  <c r="C33" i="84"/>
  <c r="H34" i="84" s="1"/>
  <c r="F18" i="37"/>
  <c r="F54" i="37"/>
  <c r="F19" i="50"/>
  <c r="F22" i="50"/>
  <c r="F26" i="50"/>
  <c r="F16" i="50"/>
  <c r="F30" i="50" s="1"/>
  <c r="F28" i="50"/>
  <c r="F17" i="50"/>
  <c r="H28" i="47"/>
  <c r="H53" i="40"/>
  <c r="H42" i="40"/>
  <c r="H35" i="40"/>
  <c r="H24" i="40"/>
  <c r="H17" i="40"/>
  <c r="H55" i="40" s="1"/>
  <c r="H48" i="40"/>
  <c r="H41" i="40"/>
  <c r="H30" i="40"/>
  <c r="H23" i="40"/>
  <c r="C32" i="70"/>
  <c r="H20" i="40"/>
  <c r="H45" i="40"/>
  <c r="H38" i="40"/>
  <c r="H27" i="40"/>
  <c r="H44" i="40"/>
  <c r="H21" i="40"/>
  <c r="H26" i="40"/>
  <c r="H50" i="40"/>
  <c r="H25" i="48"/>
  <c r="H52" i="40"/>
  <c r="H49" i="40"/>
  <c r="I20" i="69"/>
  <c r="F22" i="46"/>
  <c r="F23" i="46" s="1"/>
  <c r="H16" i="47"/>
  <c r="H25" i="47"/>
  <c r="H21" i="47"/>
  <c r="H19" i="47"/>
  <c r="H22" i="47"/>
  <c r="H6" i="89"/>
  <c r="H6" i="90"/>
  <c r="H6" i="43"/>
  <c r="H6" i="41"/>
  <c r="H6" i="71"/>
  <c r="H6" i="65"/>
  <c r="H6" i="44"/>
  <c r="J6" i="82"/>
  <c r="H6" i="67"/>
  <c r="H6" i="47"/>
  <c r="H6" i="87"/>
  <c r="I6" i="78"/>
  <c r="H6" i="79"/>
  <c r="H6" i="62"/>
  <c r="H6" i="85"/>
  <c r="J6" i="72"/>
  <c r="H6" i="66"/>
  <c r="H6" i="46"/>
  <c r="H6" i="61"/>
  <c r="H6" i="64"/>
  <c r="H6" i="42"/>
  <c r="H6" i="57"/>
  <c r="H6" i="91"/>
  <c r="H6" i="83"/>
  <c r="H6" i="63"/>
  <c r="H6" i="48"/>
  <c r="H6" i="84"/>
  <c r="H6" i="70"/>
  <c r="H6" i="92"/>
  <c r="H6" i="50"/>
  <c r="H6" i="69"/>
  <c r="H6" i="40"/>
  <c r="H6" i="86"/>
  <c r="H6" i="37"/>
  <c r="H6" i="49"/>
  <c r="J6" i="56"/>
  <c r="F33" i="37"/>
  <c r="H47" i="40"/>
  <c r="F48" i="37"/>
  <c r="N44" i="84"/>
  <c r="L44" i="84"/>
  <c r="H22" i="50"/>
  <c r="H17" i="50"/>
  <c r="H25" i="50"/>
  <c r="H26" i="50"/>
  <c r="H28" i="50"/>
  <c r="H20" i="50"/>
  <c r="H29" i="50"/>
  <c r="H19" i="50"/>
  <c r="C101" i="86"/>
  <c r="K99" i="86"/>
  <c r="I98" i="86"/>
  <c r="G97" i="86"/>
  <c r="E96" i="86"/>
  <c r="C95" i="86"/>
  <c r="K93" i="86"/>
  <c r="I92" i="86"/>
  <c r="G91" i="86"/>
  <c r="E90" i="86"/>
  <c r="C89" i="86"/>
  <c r="K87" i="86"/>
  <c r="I86" i="86"/>
  <c r="G85" i="86"/>
  <c r="E84" i="86"/>
  <c r="C83" i="86"/>
  <c r="K81" i="86"/>
  <c r="I80" i="86"/>
  <c r="G79" i="86"/>
  <c r="E78" i="86"/>
  <c r="C77" i="86"/>
  <c r="K75" i="86"/>
  <c r="I74" i="86"/>
  <c r="G73" i="86"/>
  <c r="E72" i="86"/>
  <c r="C71" i="86"/>
  <c r="K69" i="86"/>
  <c r="I68" i="86"/>
  <c r="G67" i="86"/>
  <c r="E66" i="86"/>
  <c r="C65" i="86"/>
  <c r="K63" i="86"/>
  <c r="I62" i="86"/>
  <c r="G61" i="86"/>
  <c r="E60" i="86"/>
  <c r="C59" i="86"/>
  <c r="K57" i="86"/>
  <c r="I56" i="86"/>
  <c r="G55" i="86"/>
  <c r="E54" i="86"/>
  <c r="F101" i="86"/>
  <c r="C100" i="86"/>
  <c r="J98" i="86"/>
  <c r="F97" i="86"/>
  <c r="C96" i="86"/>
  <c r="J94" i="86"/>
  <c r="G93" i="86"/>
  <c r="D92" i="86"/>
  <c r="K90" i="86"/>
  <c r="H89" i="86"/>
  <c r="E88" i="86"/>
  <c r="L86" i="86"/>
  <c r="I85" i="86"/>
  <c r="F84" i="86"/>
  <c r="L82" i="86"/>
  <c r="I81" i="86"/>
  <c r="F80" i="86"/>
  <c r="C79" i="86"/>
  <c r="J77" i="86"/>
  <c r="G76" i="86"/>
  <c r="D75" i="86"/>
  <c r="K73" i="86"/>
  <c r="H72" i="86"/>
  <c r="E71" i="86"/>
  <c r="L69" i="86"/>
  <c r="H68" i="86"/>
  <c r="E67" i="86"/>
  <c r="L65" i="86"/>
  <c r="I64" i="86"/>
  <c r="F63" i="86"/>
  <c r="C62" i="86"/>
  <c r="J60" i="86"/>
  <c r="G59" i="86"/>
  <c r="D58" i="86"/>
  <c r="K56" i="86"/>
  <c r="H55" i="86"/>
  <c r="D54" i="86"/>
  <c r="L52" i="86"/>
  <c r="J51" i="86"/>
  <c r="H50" i="86"/>
  <c r="F49" i="86"/>
  <c r="D48" i="86"/>
  <c r="L46" i="86"/>
  <c r="J45" i="86"/>
  <c r="H44" i="86"/>
  <c r="F43" i="86"/>
  <c r="D42" i="86"/>
  <c r="L40" i="86"/>
  <c r="J39" i="86"/>
  <c r="H38" i="86"/>
  <c r="F37" i="86"/>
  <c r="K37" i="86" s="1"/>
  <c r="D36" i="86"/>
  <c r="F31" i="86"/>
  <c r="D30" i="86"/>
  <c r="F25" i="86"/>
  <c r="D24" i="86"/>
  <c r="G101" i="86"/>
  <c r="L99" i="86"/>
  <c r="G98" i="86"/>
  <c r="C97" i="86"/>
  <c r="I95" i="86"/>
  <c r="E94" i="86"/>
  <c r="K92" i="86"/>
  <c r="F91" i="86"/>
  <c r="L89" i="86"/>
  <c r="H88" i="86"/>
  <c r="D87" i="86"/>
  <c r="J85" i="86"/>
  <c r="D84" i="86"/>
  <c r="J82" i="86"/>
  <c r="F81" i="86"/>
  <c r="L79" i="86"/>
  <c r="H78" i="86"/>
  <c r="D77" i="86"/>
  <c r="I75" i="86"/>
  <c r="E74" i="86"/>
  <c r="K72" i="86"/>
  <c r="G71" i="86"/>
  <c r="C70" i="86"/>
  <c r="G68" i="86"/>
  <c r="C67" i="86"/>
  <c r="I65" i="86"/>
  <c r="E64" i="86"/>
  <c r="K62" i="86"/>
  <c r="F61" i="86"/>
  <c r="L59" i="86"/>
  <c r="H58" i="86"/>
  <c r="D57" i="86"/>
  <c r="J55" i="86"/>
  <c r="F54" i="86"/>
  <c r="K52" i="86"/>
  <c r="H51" i="86"/>
  <c r="E50" i="86"/>
  <c r="L48" i="86"/>
  <c r="I47" i="86"/>
  <c r="F46" i="86"/>
  <c r="C45" i="86"/>
  <c r="J43" i="86"/>
  <c r="G42" i="86"/>
  <c r="D41" i="86"/>
  <c r="K39" i="86"/>
  <c r="G38" i="86"/>
  <c r="D37" i="86"/>
  <c r="E33" i="86"/>
  <c r="F29" i="86"/>
  <c r="C28" i="86"/>
  <c r="G25" i="86"/>
  <c r="C24" i="86"/>
  <c r="J24" i="86" s="1"/>
  <c r="L66" i="86"/>
  <c r="C54" i="86"/>
  <c r="D50" i="86"/>
  <c r="K48" i="86"/>
  <c r="E46" i="86"/>
  <c r="L44" i="86"/>
  <c r="I43" i="86"/>
  <c r="F42" i="86"/>
  <c r="C41" i="86"/>
  <c r="F38" i="86"/>
  <c r="C37" i="86"/>
  <c r="G34" i="86"/>
  <c r="E25" i="86"/>
  <c r="E101" i="86"/>
  <c r="J99" i="86"/>
  <c r="F98" i="86"/>
  <c r="L96" i="86"/>
  <c r="H95" i="86"/>
  <c r="D94" i="86"/>
  <c r="J92" i="86"/>
  <c r="E91" i="86"/>
  <c r="K89" i="86"/>
  <c r="G88" i="86"/>
  <c r="C87" i="86"/>
  <c r="H85" i="86"/>
  <c r="C84" i="86"/>
  <c r="I82" i="86"/>
  <c r="E81" i="86"/>
  <c r="K79" i="86"/>
  <c r="G78" i="86"/>
  <c r="L76" i="86"/>
  <c r="H75" i="86"/>
  <c r="D74" i="86"/>
  <c r="J72" i="86"/>
  <c r="F71" i="86"/>
  <c r="J69" i="86"/>
  <c r="F68" i="86"/>
  <c r="H65" i="86"/>
  <c r="D64" i="86"/>
  <c r="J62" i="86"/>
  <c r="E61" i="86"/>
  <c r="K59" i="86"/>
  <c r="G58" i="86"/>
  <c r="C57" i="86"/>
  <c r="I55" i="86"/>
  <c r="J52" i="86"/>
  <c r="G51" i="86"/>
  <c r="H47" i="86"/>
  <c r="I39" i="86"/>
  <c r="D33" i="86"/>
  <c r="E29" i="86"/>
  <c r="J29" i="86" s="1"/>
  <c r="L101" i="86"/>
  <c r="F100" i="86"/>
  <c r="H98" i="86"/>
  <c r="J96" i="86"/>
  <c r="D95" i="86"/>
  <c r="F93" i="86"/>
  <c r="J91" i="86"/>
  <c r="C90" i="86"/>
  <c r="D88" i="86"/>
  <c r="G86" i="86"/>
  <c r="K84" i="86"/>
  <c r="E83" i="86"/>
  <c r="G81" i="86"/>
  <c r="I79" i="86"/>
  <c r="L77" i="86"/>
  <c r="E76" i="86"/>
  <c r="H74" i="86"/>
  <c r="L72" i="86"/>
  <c r="L70" i="86"/>
  <c r="F69" i="86"/>
  <c r="J67" i="86"/>
  <c r="C66" i="86"/>
  <c r="F64" i="86"/>
  <c r="G62" i="86"/>
  <c r="K60" i="86"/>
  <c r="D59" i="86"/>
  <c r="G57" i="86"/>
  <c r="K55" i="86"/>
  <c r="K53" i="86"/>
  <c r="F52" i="86"/>
  <c r="K50" i="86"/>
  <c r="E49" i="86"/>
  <c r="J47" i="86"/>
  <c r="C46" i="86"/>
  <c r="G44" i="86"/>
  <c r="L42" i="86"/>
  <c r="G41" i="86"/>
  <c r="L39" i="86"/>
  <c r="D38" i="86"/>
  <c r="D35" i="86"/>
  <c r="C32" i="86"/>
  <c r="L32" i="91" s="1"/>
  <c r="F30" i="86"/>
  <c r="K30" i="86" s="1"/>
  <c r="E27" i="86"/>
  <c r="E24" i="86"/>
  <c r="G22" i="86"/>
  <c r="E100" i="86"/>
  <c r="I96" i="86"/>
  <c r="E93" i="86"/>
  <c r="I91" i="86"/>
  <c r="C88" i="86"/>
  <c r="F86" i="86"/>
  <c r="D83" i="86"/>
  <c r="D81" i="86"/>
  <c r="K77" i="86"/>
  <c r="D76" i="86"/>
  <c r="G74" i="86"/>
  <c r="I72" i="86"/>
  <c r="E69" i="86"/>
  <c r="I67" i="86"/>
  <c r="K65" i="86"/>
  <c r="C64" i="86"/>
  <c r="F62" i="86"/>
  <c r="L58" i="86"/>
  <c r="F57" i="86"/>
  <c r="F55" i="86"/>
  <c r="E52" i="86"/>
  <c r="J50" i="86"/>
  <c r="D49" i="86"/>
  <c r="L45" i="86"/>
  <c r="F44" i="86"/>
  <c r="F41" i="86"/>
  <c r="C38" i="86"/>
  <c r="C35" i="86"/>
  <c r="G33" i="86"/>
  <c r="D27" i="86"/>
  <c r="D100" i="86"/>
  <c r="K94" i="86"/>
  <c r="H91" i="86"/>
  <c r="L87" i="86"/>
  <c r="E86" i="86"/>
  <c r="I84" i="86"/>
  <c r="C81" i="86"/>
  <c r="I77" i="86"/>
  <c r="C76" i="86"/>
  <c r="G72" i="86"/>
  <c r="J70" i="86"/>
  <c r="H67" i="86"/>
  <c r="L63" i="86"/>
  <c r="H60" i="86"/>
  <c r="E57" i="86"/>
  <c r="D52" i="86"/>
  <c r="I50" i="86"/>
  <c r="F47" i="86"/>
  <c r="K45" i="86"/>
  <c r="J42" i="86"/>
  <c r="G39" i="86"/>
  <c r="G36" i="86"/>
  <c r="L36" i="86" s="1"/>
  <c r="F33" i="86"/>
  <c r="C27" i="86"/>
  <c r="L27" i="91" s="1"/>
  <c r="L97" i="86"/>
  <c r="H94" i="86"/>
  <c r="F89" i="86"/>
  <c r="K80" i="86"/>
  <c r="J75" i="86"/>
  <c r="L68" i="86"/>
  <c r="I63" i="86"/>
  <c r="I58" i="86"/>
  <c r="C55" i="86"/>
  <c r="L51" i="86"/>
  <c r="I48" i="86"/>
  <c r="H45" i="86"/>
  <c r="J40" i="86"/>
  <c r="F28" i="86"/>
  <c r="K101" i="86"/>
  <c r="E98" i="86"/>
  <c r="L94" i="86"/>
  <c r="J89" i="86"/>
  <c r="J84" i="86"/>
  <c r="H79" i="86"/>
  <c r="K70" i="86"/>
  <c r="I60" i="86"/>
  <c r="J53" i="86"/>
  <c r="G47" i="86"/>
  <c r="K42" i="86"/>
  <c r="H39" i="86"/>
  <c r="E30" i="86"/>
  <c r="F22" i="86"/>
  <c r="J101" i="86"/>
  <c r="D98" i="86"/>
  <c r="H96" i="86"/>
  <c r="D93" i="86"/>
  <c r="I89" i="86"/>
  <c r="K82" i="86"/>
  <c r="F79" i="86"/>
  <c r="F74" i="86"/>
  <c r="D69" i="86"/>
  <c r="J65" i="86"/>
  <c r="E62" i="86"/>
  <c r="K58" i="86"/>
  <c r="I53" i="86"/>
  <c r="C49" i="86"/>
  <c r="E44" i="86"/>
  <c r="E41" i="86"/>
  <c r="C30" i="86"/>
  <c r="E22" i="86"/>
  <c r="H101" i="86"/>
  <c r="F96" i="86"/>
  <c r="L92" i="86"/>
  <c r="I87" i="86"/>
  <c r="D79" i="86"/>
  <c r="D72" i="86"/>
  <c r="F65" i="86"/>
  <c r="F60" i="86"/>
  <c r="G53" i="86"/>
  <c r="D47" i="86"/>
  <c r="E39" i="86"/>
  <c r="E36" i="86"/>
  <c r="E55" i="86"/>
  <c r="H70" i="86"/>
  <c r="C44" i="86"/>
  <c r="I101" i="86"/>
  <c r="I99" i="86"/>
  <c r="C98" i="86"/>
  <c r="G96" i="86"/>
  <c r="I94" i="86"/>
  <c r="C93" i="86"/>
  <c r="D91" i="86"/>
  <c r="G89" i="86"/>
  <c r="J87" i="86"/>
  <c r="D86" i="86"/>
  <c r="H84" i="86"/>
  <c r="H82" i="86"/>
  <c r="L80" i="86"/>
  <c r="E79" i="86"/>
  <c r="H77" i="86"/>
  <c r="L75" i="86"/>
  <c r="C74" i="86"/>
  <c r="F72" i="86"/>
  <c r="I70" i="86"/>
  <c r="C69" i="86"/>
  <c r="F67" i="86"/>
  <c r="G65" i="86"/>
  <c r="J63" i="86"/>
  <c r="D62" i="86"/>
  <c r="G60" i="86"/>
  <c r="J58" i="86"/>
  <c r="L56" i="86"/>
  <c r="D55" i="86"/>
  <c r="H53" i="86"/>
  <c r="C52" i="86"/>
  <c r="G50" i="86"/>
  <c r="J48" i="86"/>
  <c r="E47" i="86"/>
  <c r="I45" i="86"/>
  <c r="D44" i="86"/>
  <c r="I42" i="86"/>
  <c r="K40" i="86"/>
  <c r="F39" i="86"/>
  <c r="F36" i="86"/>
  <c r="C33" i="86"/>
  <c r="L33" i="91" s="1"/>
  <c r="G28" i="86"/>
  <c r="L28" i="86" s="1"/>
  <c r="D25" i="86"/>
  <c r="D22" i="86"/>
  <c r="H99" i="86"/>
  <c r="C91" i="86"/>
  <c r="C86" i="86"/>
  <c r="G84" i="86"/>
  <c r="G82" i="86"/>
  <c r="G77" i="86"/>
  <c r="L73" i="86"/>
  <c r="D67" i="86"/>
  <c r="L61" i="86"/>
  <c r="J56" i="86"/>
  <c r="F50" i="86"/>
  <c r="H42" i="86"/>
  <c r="G31" i="86"/>
  <c r="G99" i="86"/>
  <c r="D97" i="86"/>
  <c r="L93" i="86"/>
  <c r="J90" i="86"/>
  <c r="F88" i="86"/>
  <c r="D85" i="86"/>
  <c r="D82" i="86"/>
  <c r="L78" i="86"/>
  <c r="H76" i="86"/>
  <c r="F73" i="86"/>
  <c r="F70" i="86"/>
  <c r="K67" i="86"/>
  <c r="J64" i="86"/>
  <c r="I61" i="86"/>
  <c r="F58" i="86"/>
  <c r="C56" i="86"/>
  <c r="C53" i="86"/>
  <c r="L49" i="86"/>
  <c r="K47" i="86"/>
  <c r="K44" i="86"/>
  <c r="L41" i="86"/>
  <c r="D39" i="86"/>
  <c r="C34" i="86"/>
  <c r="D31" i="86"/>
  <c r="I31" i="86" s="1"/>
  <c r="C26" i="86"/>
  <c r="L26" i="91" s="1"/>
  <c r="F23" i="86"/>
  <c r="E70" i="86"/>
  <c r="E23" i="86"/>
  <c r="E99" i="86"/>
  <c r="I93" i="86"/>
  <c r="H90" i="86"/>
  <c r="G87" i="86"/>
  <c r="L84" i="86"/>
  <c r="J78" i="86"/>
  <c r="G75" i="86"/>
  <c r="D73" i="86"/>
  <c r="J66" i="86"/>
  <c r="G64" i="86"/>
  <c r="D61" i="86"/>
  <c r="L54" i="86"/>
  <c r="J49" i="86"/>
  <c r="I44" i="86"/>
  <c r="J41" i="86"/>
  <c r="L38" i="86"/>
  <c r="L95" i="86"/>
  <c r="F87" i="86"/>
  <c r="F75" i="86"/>
  <c r="I69" i="86"/>
  <c r="C61" i="86"/>
  <c r="I49" i="86"/>
  <c r="L43" i="86"/>
  <c r="K38" i="86"/>
  <c r="C23" i="86"/>
  <c r="K95" i="86"/>
  <c r="H66" i="86"/>
  <c r="H49" i="86"/>
  <c r="F99" i="86"/>
  <c r="K96" i="86"/>
  <c r="J93" i="86"/>
  <c r="I90" i="86"/>
  <c r="H87" i="86"/>
  <c r="C85" i="86"/>
  <c r="C82" i="86"/>
  <c r="K78" i="86"/>
  <c r="F76" i="86"/>
  <c r="E73" i="86"/>
  <c r="K66" i="86"/>
  <c r="H64" i="86"/>
  <c r="H61" i="86"/>
  <c r="E58" i="86"/>
  <c r="L55" i="86"/>
  <c r="I52" i="86"/>
  <c r="K49" i="86"/>
  <c r="C47" i="86"/>
  <c r="J44" i="86"/>
  <c r="K41" i="86"/>
  <c r="C39" i="86"/>
  <c r="C31" i="86"/>
  <c r="E28" i="86"/>
  <c r="D96" i="86"/>
  <c r="L81" i="86"/>
  <c r="D70" i="86"/>
  <c r="C58" i="86"/>
  <c r="K46" i="86"/>
  <c r="C36" i="86"/>
  <c r="L36" i="91" s="1"/>
  <c r="D28" i="86"/>
  <c r="D23" i="86"/>
  <c r="D99" i="86"/>
  <c r="H93" i="86"/>
  <c r="G90" i="86"/>
  <c r="L83" i="86"/>
  <c r="I78" i="86"/>
  <c r="C73" i="86"/>
  <c r="I66" i="86"/>
  <c r="H63" i="86"/>
  <c r="L57" i="86"/>
  <c r="K54" i="86"/>
  <c r="G52" i="86"/>
  <c r="J46" i="86"/>
  <c r="C25" i="86"/>
  <c r="H92" i="86"/>
  <c r="F90" i="86"/>
  <c r="E87" i="86"/>
  <c r="H81" i="86"/>
  <c r="F78" i="86"/>
  <c r="E75" i="86"/>
  <c r="H69" i="86"/>
  <c r="G63" i="86"/>
  <c r="L60" i="86"/>
  <c r="J54" i="86"/>
  <c r="K51" i="86"/>
  <c r="I46" i="86"/>
  <c r="H41" i="86"/>
  <c r="J38" i="86"/>
  <c r="H52" i="86"/>
  <c r="J81" i="86"/>
  <c r="I41" i="86"/>
  <c r="C99" i="86"/>
  <c r="K83" i="86"/>
  <c r="C72" i="86"/>
  <c r="J57" i="86"/>
  <c r="K43" i="86"/>
  <c r="I100" i="86"/>
  <c r="I97" i="86"/>
  <c r="G94" i="86"/>
  <c r="L91" i="86"/>
  <c r="K88" i="86"/>
  <c r="K85" i="86"/>
  <c r="F83" i="86"/>
  <c r="D80" i="86"/>
  <c r="K76" i="86"/>
  <c r="J73" i="86"/>
  <c r="H71" i="86"/>
  <c r="D68" i="86"/>
  <c r="D65" i="86"/>
  <c r="H62" i="86"/>
  <c r="H59" i="86"/>
  <c r="F56" i="86"/>
  <c r="F53" i="86"/>
  <c r="C51" i="86"/>
  <c r="E48" i="86"/>
  <c r="F45" i="86"/>
  <c r="C43" i="86"/>
  <c r="E40" i="86"/>
  <c r="G37" i="86"/>
  <c r="L37" i="86" s="1"/>
  <c r="F34" i="86"/>
  <c r="K34" i="86" s="1"/>
  <c r="E32" i="86"/>
  <c r="G29" i="86"/>
  <c r="F26" i="86"/>
  <c r="G24" i="86"/>
  <c r="E97" i="86"/>
  <c r="L90" i="86"/>
  <c r="E85" i="86"/>
  <c r="J79" i="86"/>
  <c r="H73" i="86"/>
  <c r="L67" i="86"/>
  <c r="J61" i="86"/>
  <c r="D56" i="86"/>
  <c r="C50" i="86"/>
  <c r="D45" i="86"/>
  <c r="C40" i="86"/>
  <c r="D34" i="86"/>
  <c r="C29" i="86"/>
  <c r="L29" i="91" s="1"/>
  <c r="G23" i="86"/>
  <c r="D53" i="86"/>
  <c r="H46" i="86"/>
  <c r="F92" i="86"/>
  <c r="G46" i="86"/>
  <c r="E45" i="86"/>
  <c r="D101" i="86"/>
  <c r="J95" i="86"/>
  <c r="D90" i="86"/>
  <c r="J83" i="86"/>
  <c r="D78" i="86"/>
  <c r="L71" i="86"/>
  <c r="G66" i="86"/>
  <c r="D60" i="86"/>
  <c r="I54" i="86"/>
  <c r="G49" i="86"/>
  <c r="H43" i="86"/>
  <c r="I38" i="86"/>
  <c r="G95" i="86"/>
  <c r="I83" i="86"/>
  <c r="K71" i="86"/>
  <c r="C60" i="86"/>
  <c r="H54" i="86"/>
  <c r="G43" i="86"/>
  <c r="E38" i="86"/>
  <c r="G27" i="86"/>
  <c r="L27" i="86" s="1"/>
  <c r="J100" i="86"/>
  <c r="E95" i="86"/>
  <c r="L88" i="86"/>
  <c r="G83" i="86"/>
  <c r="E77" i="86"/>
  <c r="I71" i="86"/>
  <c r="E65" i="86"/>
  <c r="I59" i="86"/>
  <c r="F48" i="86"/>
  <c r="D43" i="86"/>
  <c r="F32" i="86"/>
  <c r="G26" i="86"/>
  <c r="H100" i="86"/>
  <c r="F94" i="86"/>
  <c r="J88" i="86"/>
  <c r="F82" i="86"/>
  <c r="J76" i="86"/>
  <c r="D71" i="86"/>
  <c r="F59" i="86"/>
  <c r="E53" i="86"/>
  <c r="C48" i="86"/>
  <c r="E42" i="86"/>
  <c r="E37" i="86"/>
  <c r="D32" i="86"/>
  <c r="E26" i="86"/>
  <c r="G100" i="86"/>
  <c r="C94" i="86"/>
  <c r="I88" i="86"/>
  <c r="E82" i="86"/>
  <c r="I76" i="86"/>
  <c r="G70" i="86"/>
  <c r="K64" i="86"/>
  <c r="E59" i="86"/>
  <c r="L47" i="86"/>
  <c r="C42" i="86"/>
  <c r="D26" i="86"/>
  <c r="G92" i="86"/>
  <c r="C75" i="86"/>
  <c r="I57" i="86"/>
  <c r="I40" i="86"/>
  <c r="G30" i="86"/>
  <c r="K98" i="86"/>
  <c r="H80" i="86"/>
  <c r="K68" i="86"/>
  <c r="D63" i="86"/>
  <c r="F51" i="86"/>
  <c r="H40" i="86"/>
  <c r="K97" i="86"/>
  <c r="E92" i="86"/>
  <c r="H86" i="86"/>
  <c r="G80" i="86"/>
  <c r="K74" i="86"/>
  <c r="J68" i="86"/>
  <c r="C63" i="86"/>
  <c r="H56" i="86"/>
  <c r="E51" i="86"/>
  <c r="D46" i="86"/>
  <c r="G40" i="86"/>
  <c r="F35" i="86"/>
  <c r="J97" i="86"/>
  <c r="L85" i="86"/>
  <c r="J74" i="86"/>
  <c r="G56" i="86"/>
  <c r="G45" i="86"/>
  <c r="E35" i="86"/>
  <c r="J35" i="86" s="1"/>
  <c r="H97" i="86"/>
  <c r="K91" i="86"/>
  <c r="C80" i="86"/>
  <c r="I73" i="86"/>
  <c r="C68" i="86"/>
  <c r="E56" i="86"/>
  <c r="L50" i="86"/>
  <c r="D40" i="86"/>
  <c r="D29" i="86"/>
  <c r="H29" i="86" s="1"/>
  <c r="F24" i="86"/>
  <c r="K24" i="86" s="1"/>
  <c r="L100" i="86"/>
  <c r="E89" i="86"/>
  <c r="C78" i="86"/>
  <c r="F66" i="86"/>
  <c r="H48" i="86"/>
  <c r="C22" i="86"/>
  <c r="L64" i="86"/>
  <c r="K100" i="86"/>
  <c r="F95" i="86"/>
  <c r="D89" i="86"/>
  <c r="H83" i="86"/>
  <c r="F77" i="86"/>
  <c r="J71" i="86"/>
  <c r="D66" i="86"/>
  <c r="J59" i="86"/>
  <c r="G54" i="86"/>
  <c r="G48" i="86"/>
  <c r="E43" i="86"/>
  <c r="I37" i="86"/>
  <c r="G32" i="86"/>
  <c r="F27" i="86"/>
  <c r="L53" i="86"/>
  <c r="E31" i="86"/>
  <c r="L98" i="86"/>
  <c r="K86" i="86"/>
  <c r="J80" i="86"/>
  <c r="G69" i="86"/>
  <c r="E63" i="86"/>
  <c r="I51" i="86"/>
  <c r="J86" i="86"/>
  <c r="L74" i="86"/>
  <c r="H57" i="86"/>
  <c r="G35" i="86"/>
  <c r="C92" i="86"/>
  <c r="E80" i="86"/>
  <c r="E68" i="86"/>
  <c r="L62" i="86"/>
  <c r="D51" i="86"/>
  <c r="F40" i="86"/>
  <c r="F85" i="86"/>
  <c r="K61" i="86"/>
  <c r="E34" i="86"/>
  <c r="H18" i="48"/>
  <c r="H35" i="48"/>
  <c r="H26" i="48"/>
  <c r="H23" i="48"/>
  <c r="H27" i="48"/>
  <c r="H36" i="48"/>
  <c r="H15" i="48"/>
  <c r="H29" i="48"/>
  <c r="H16" i="48"/>
  <c r="H26" i="42"/>
  <c r="H41" i="48"/>
  <c r="I15" i="69"/>
  <c r="I21" i="69" s="1"/>
  <c r="I17" i="69"/>
  <c r="H20" i="48"/>
  <c r="H34" i="48"/>
  <c r="H24" i="42"/>
  <c r="L35" i="84"/>
  <c r="H16" i="50"/>
  <c r="H15" i="50"/>
  <c r="H29" i="42"/>
  <c r="H27" i="50"/>
  <c r="H18" i="42"/>
  <c r="F15" i="47"/>
  <c r="F22" i="47"/>
  <c r="F25" i="47"/>
  <c r="F18" i="47"/>
  <c r="F14" i="47"/>
  <c r="F27" i="47"/>
  <c r="F19" i="47"/>
  <c r="F20" i="47"/>
  <c r="F26" i="47"/>
  <c r="F21" i="47"/>
  <c r="F24" i="47"/>
  <c r="F16" i="47"/>
  <c r="H40" i="48"/>
  <c r="F22" i="48"/>
  <c r="F40" i="48"/>
  <c r="F31" i="48"/>
  <c r="F15" i="48"/>
  <c r="F28" i="48"/>
  <c r="F33" i="48"/>
  <c r="F42" i="48" s="1"/>
  <c r="F60" i="37"/>
  <c r="H34" i="40"/>
  <c r="H31" i="40"/>
  <c r="F28" i="49"/>
  <c r="F25" i="49"/>
  <c r="F22" i="49"/>
  <c r="F19" i="49"/>
  <c r="F16" i="49"/>
  <c r="F29" i="49" s="1"/>
  <c r="F20" i="49"/>
  <c r="F26" i="49"/>
  <c r="F18" i="49"/>
  <c r="F24" i="49"/>
  <c r="F27" i="49"/>
  <c r="F15" i="49"/>
  <c r="F21" i="49"/>
  <c r="F17" i="49"/>
  <c r="F55" i="40"/>
  <c r="E20" i="69"/>
  <c r="E18" i="69"/>
  <c r="E16" i="69"/>
  <c r="E14" i="69"/>
  <c r="E19" i="69"/>
  <c r="E15" i="69"/>
  <c r="F17" i="42"/>
  <c r="F27" i="42"/>
  <c r="F20" i="42"/>
  <c r="F28" i="42"/>
  <c r="F23" i="42"/>
  <c r="F14" i="42"/>
  <c r="F26" i="42"/>
  <c r="F16" i="42"/>
  <c r="F25" i="42"/>
  <c r="F29" i="42"/>
  <c r="F20" i="48"/>
  <c r="F43" i="37"/>
  <c r="H17" i="47"/>
  <c r="F22" i="37"/>
  <c r="F25" i="37"/>
  <c r="H36" i="40"/>
  <c r="F36" i="37"/>
  <c r="J18" i="70"/>
  <c r="J17" i="70" s="1"/>
  <c r="F25" i="50"/>
  <c r="F39" i="37"/>
  <c r="H25" i="42"/>
  <c r="H23" i="42"/>
  <c r="H16" i="42"/>
  <c r="H19" i="42"/>
  <c r="H14" i="42"/>
  <c r="H22" i="42"/>
  <c r="H28" i="42"/>
  <c r="C28" i="57"/>
  <c r="C37" i="57"/>
  <c r="C19" i="57"/>
  <c r="G15" i="41"/>
  <c r="H16" i="43"/>
  <c r="F14" i="46"/>
  <c r="F15" i="46"/>
  <c r="H14" i="50"/>
  <c r="H39" i="48"/>
  <c r="H23" i="50"/>
  <c r="H33" i="48"/>
  <c r="F34" i="70"/>
  <c r="H52" i="84"/>
  <c r="F61" i="37"/>
  <c r="L52" i="84"/>
  <c r="L25" i="91" l="1"/>
  <c r="I25" i="86"/>
  <c r="L35" i="91"/>
  <c r="L17" i="91" s="1"/>
  <c r="F45" i="85" s="1"/>
  <c r="J34" i="86"/>
  <c r="H32" i="86"/>
  <c r="L26" i="86"/>
  <c r="I36" i="86"/>
  <c r="L22" i="91"/>
  <c r="L23" i="86"/>
  <c r="L34" i="86"/>
  <c r="L24" i="91"/>
  <c r="K32" i="86"/>
  <c r="I34" i="86"/>
  <c r="L31" i="91"/>
  <c r="K26" i="86"/>
  <c r="H23" i="86"/>
  <c r="I23" i="86"/>
  <c r="L25" i="86"/>
  <c r="I29" i="86"/>
  <c r="K27" i="86"/>
  <c r="I35" i="86"/>
  <c r="J33" i="86"/>
  <c r="H28" i="86"/>
  <c r="L35" i="86"/>
  <c r="K35" i="86"/>
  <c r="K33" i="86"/>
  <c r="I27" i="86"/>
  <c r="K25" i="86"/>
  <c r="I26" i="86"/>
  <c r="J26" i="86"/>
  <c r="L33" i="86"/>
  <c r="K23" i="86"/>
  <c r="H30" i="86"/>
  <c r="J22" i="86"/>
  <c r="J37" i="86"/>
  <c r="K36" i="86"/>
  <c r="L30" i="91"/>
  <c r="J30" i="86"/>
  <c r="I28" i="86"/>
  <c r="K22" i="86"/>
  <c r="J23" i="86"/>
  <c r="L29" i="86"/>
  <c r="L30" i="86"/>
  <c r="J32" i="86"/>
  <c r="J28" i="86"/>
  <c r="I33" i="86"/>
  <c r="L34" i="84"/>
  <c r="L31" i="86"/>
  <c r="K28" i="86"/>
  <c r="L22" i="86"/>
  <c r="I30" i="86"/>
  <c r="L32" i="86"/>
  <c r="H34" i="86"/>
  <c r="K31" i="86"/>
  <c r="L34" i="91"/>
  <c r="K29" i="86"/>
  <c r="J36" i="86"/>
  <c r="J25" i="86"/>
  <c r="H35" i="86"/>
  <c r="H22" i="86"/>
  <c r="E21" i="69"/>
  <c r="H29" i="49"/>
  <c r="J6" i="71"/>
  <c r="J6" i="65"/>
  <c r="J6" i="44"/>
  <c r="J6" i="84"/>
  <c r="L6" i="82"/>
  <c r="J6" i="49"/>
  <c r="J6" i="46"/>
  <c r="N6" i="72"/>
  <c r="J6" i="83"/>
  <c r="N6" i="78"/>
  <c r="J6" i="66"/>
  <c r="J6" i="41"/>
  <c r="J6" i="40"/>
  <c r="J6" i="79"/>
  <c r="J6" i="90"/>
  <c r="J6" i="63"/>
  <c r="J6" i="69"/>
  <c r="J6" i="64"/>
  <c r="J6" i="67"/>
  <c r="J6" i="37"/>
  <c r="M6" i="89"/>
  <c r="J6" i="86"/>
  <c r="J6" i="92"/>
  <c r="J6" i="85"/>
  <c r="J6" i="43"/>
  <c r="J6" i="48"/>
  <c r="J6" i="70"/>
  <c r="J6" i="50"/>
  <c r="J6" i="87"/>
  <c r="J6" i="57"/>
  <c r="J6" i="47"/>
  <c r="J6" i="61"/>
  <c r="J6" i="42"/>
  <c r="J6" i="91"/>
  <c r="J6" i="62"/>
  <c r="G20" i="69"/>
  <c r="H30" i="50"/>
  <c r="H26" i="86"/>
  <c r="H17" i="41"/>
  <c r="F17" i="41"/>
  <c r="G17" i="41" s="1"/>
  <c r="E18" i="41"/>
  <c r="F28" i="47"/>
  <c r="H27" i="86"/>
  <c r="L24" i="86"/>
  <c r="H37" i="86"/>
  <c r="F31" i="42"/>
  <c r="H33" i="86"/>
  <c r="H42" i="48"/>
  <c r="L23" i="91"/>
  <c r="L28" i="91"/>
  <c r="H31" i="86"/>
  <c r="H36" i="86"/>
  <c r="C35" i="84"/>
  <c r="F36" i="70" s="1"/>
  <c r="C42" i="57"/>
  <c r="N34" i="84"/>
  <c r="C25" i="57"/>
  <c r="C24" i="57"/>
  <c r="D34" i="84"/>
  <c r="C33" i="57"/>
  <c r="F34" i="84"/>
  <c r="J34" i="84"/>
  <c r="H24" i="86"/>
  <c r="I32" i="86"/>
  <c r="F65" i="37"/>
  <c r="F16" i="46"/>
  <c r="I22" i="86"/>
  <c r="J27" i="86"/>
  <c r="J31" i="86"/>
  <c r="G15" i="69"/>
  <c r="G21" i="69" s="1"/>
  <c r="G19" i="69"/>
  <c r="I24" i="86"/>
  <c r="H25" i="86"/>
  <c r="H31" i="42"/>
  <c r="G16" i="69"/>
  <c r="F18" i="41" l="1"/>
  <c r="G18" i="41" s="1"/>
  <c r="E19" i="41"/>
  <c r="H18" i="41"/>
  <c r="E20" i="41" l="1"/>
  <c r="H19" i="41"/>
  <c r="F19" i="41"/>
  <c r="G19" i="41" s="1"/>
  <c r="H20" i="41" l="1"/>
  <c r="E21" i="41"/>
  <c r="F20" i="41"/>
  <c r="G20" i="41" s="1"/>
  <c r="F21" i="41" l="1"/>
  <c r="G21" i="41" s="1"/>
  <c r="H21" i="41"/>
  <c r="E22" i="41"/>
  <c r="E23" i="41" l="1"/>
  <c r="H22" i="41"/>
  <c r="F22" i="41"/>
  <c r="G22" i="41" s="1"/>
  <c r="H23" i="41" l="1"/>
  <c r="F23" i="41"/>
  <c r="G23" i="41" s="1"/>
  <c r="E24" i="41"/>
  <c r="F24" i="41" l="1"/>
  <c r="G24" i="41" s="1"/>
  <c r="E25" i="41"/>
  <c r="H24" i="41"/>
  <c r="F25" i="41" l="1"/>
  <c r="G25" i="41" s="1"/>
  <c r="E26" i="41"/>
  <c r="H25" i="41"/>
  <c r="H26" i="41" l="1"/>
  <c r="E27" i="41"/>
  <c r="F26" i="41"/>
  <c r="G26" i="41" s="1"/>
  <c r="F27" i="41" l="1"/>
  <c r="G27" i="41" s="1"/>
  <c r="H27" i="41"/>
  <c r="E28" i="41"/>
  <c r="E29" i="41" l="1"/>
  <c r="H28" i="41"/>
  <c r="F28" i="41"/>
  <c r="G28" i="41" s="1"/>
  <c r="H29" i="41" l="1"/>
  <c r="F29" i="41"/>
  <c r="G29" i="41" s="1"/>
  <c r="E30" i="41"/>
  <c r="F30" i="41" l="1"/>
  <c r="G30" i="41" s="1"/>
  <c r="E31" i="41"/>
  <c r="H30" i="41"/>
  <c r="H31" i="41" l="1"/>
  <c r="E32" i="41"/>
  <c r="F31" i="41"/>
  <c r="G31" i="41" s="1"/>
  <c r="H32" i="41" l="1"/>
  <c r="E33" i="41"/>
  <c r="F32" i="41"/>
  <c r="G32" i="41" s="1"/>
  <c r="F33" i="41" l="1"/>
  <c r="G33" i="41" s="1"/>
  <c r="E34" i="41"/>
  <c r="H33" i="41"/>
  <c r="E35" i="41" l="1"/>
  <c r="H34" i="41"/>
  <c r="F34" i="41"/>
  <c r="G34" i="41" s="1"/>
  <c r="H35" i="41" l="1"/>
  <c r="E36" i="41"/>
  <c r="F35" i="41"/>
  <c r="G35" i="41" s="1"/>
  <c r="F36" i="41" l="1"/>
  <c r="G36" i="41" s="1"/>
  <c r="E37" i="41"/>
  <c r="H36" i="41"/>
  <c r="E38" i="41" l="1"/>
  <c r="F37" i="41"/>
  <c r="G37" i="41" s="1"/>
  <c r="H37" i="41"/>
  <c r="H38" i="41" l="1"/>
  <c r="H39" i="41" s="1"/>
  <c r="F38" i="41"/>
  <c r="G38" i="41" l="1"/>
  <c r="G39" i="41" s="1"/>
  <c r="F39" i="41"/>
</calcChain>
</file>

<file path=xl/sharedStrings.xml><?xml version="1.0" encoding="utf-8"?>
<sst xmlns="http://schemas.openxmlformats.org/spreadsheetml/2006/main" count="3634" uniqueCount="1655">
  <si>
    <t>Monthly Investor Report</t>
  </si>
  <si>
    <t>Monthly Period</t>
  </si>
  <si>
    <t>Payment Date</t>
  </si>
  <si>
    <t>Period  No</t>
  </si>
  <si>
    <t>to</t>
  </si>
  <si>
    <t>Class A</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</si>
  <si>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</si>
  <si>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</si>
  <si>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</si>
  <si>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</si>
  <si>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</si>
  <si>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</si>
  <si>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</si>
  <si>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</si>
  <si>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</si>
  <si>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</si>
  <si>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</si>
  <si>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</si>
  <si>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</si>
  <si>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</si>
  <si>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</si>
  <si>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</si>
  <si>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</si>
  <si>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</si>
  <si>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</si>
  <si>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</si>
  <si>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</si>
  <si>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</si>
  <si>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</si>
  <si>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</si>
  <si>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</si>
  <si>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</si>
  <si>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</si>
  <si>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</si>
  <si>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</si>
  <si>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</si>
  <si>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</si>
  <si>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</si>
  <si>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</si>
  <si>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</si>
  <si>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</si>
  <si>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</si>
  <si>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</si>
  <si>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</si>
  <si>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</si>
  <si>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</si>
  <si>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</si>
  <si>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</si>
  <si>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</si>
  <si>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</si>
  <si>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Reporting Date</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</si>
  <si>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</si>
  <si>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</si>
  <si>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</si>
  <si>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</si>
  <si>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</si>
  <si>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</si>
  <si>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</si>
  <si>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</si>
  <si>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</si>
  <si>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</si>
  <si>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</si>
  <si>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</si>
  <si>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</si>
  <si>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</si>
  <si>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</si>
  <si>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</si>
  <si>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</si>
  <si>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</si>
  <si>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</si>
  <si>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</si>
  <si>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</si>
  <si>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</si>
  <si>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</si>
  <si>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</si>
  <si>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</si>
  <si>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</si>
  <si>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</si>
  <si>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</si>
  <si>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</si>
  <si>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</si>
  <si>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</si>
  <si>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</si>
  <si>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</si>
  <si>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</si>
  <si>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</si>
  <si>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</si>
  <si>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</si>
  <si>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</si>
  <si>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</si>
  <si>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</si>
  <si>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</si>
  <si>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</si>
  <si>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</si>
  <si>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</si>
  <si>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</si>
  <si>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</si>
  <si>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</si>
  <si>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</si>
  <si>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</si>
  <si>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</si>
  <si>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</si>
  <si>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</si>
  <si>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</si>
  <si>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</si>
  <si>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</si>
  <si>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</si>
  <si>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</si>
  <si>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</si>
  <si>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</si>
  <si>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</si>
  <si>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</si>
  <si>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</si>
  <si>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</si>
  <si>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</si>
  <si>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</si>
  <si>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</si>
  <si>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</si>
  <si>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</si>
  <si>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</si>
  <si>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</si>
  <si>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</si>
  <si>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</si>
  <si>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</si>
  <si>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</si>
  <si>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</si>
  <si>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</si>
  <si>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</si>
  <si>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</si>
  <si>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</si>
  <si>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</si>
  <si>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</si>
  <si>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</si>
  <si>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</si>
  <si>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</si>
  <si>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</si>
  <si>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</si>
  <si>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</si>
  <si>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</si>
  <si>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</si>
  <si>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</si>
  <si>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</si>
  <si>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</si>
  <si>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</si>
  <si>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</si>
  <si>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</si>
  <si>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</si>
  <si>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</si>
  <si>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</si>
  <si>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</si>
  <si>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</si>
  <si>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</si>
  <si>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</si>
  <si>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</si>
  <si>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</si>
  <si>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</si>
  <si>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</si>
  <si>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</si>
  <si>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</si>
  <si>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</si>
  <si>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</si>
  <si>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</si>
  <si>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</si>
  <si>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</si>
  <si>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</si>
  <si>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</si>
  <si>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</si>
  <si>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</si>
  <si>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</si>
  <si>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</si>
  <si>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</si>
  <si>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</si>
  <si>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</si>
  <si>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</si>
  <si>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</si>
  <si>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</si>
  <si>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</si>
  <si>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</si>
  <si>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</si>
  <si>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Total Number of Defaulted Contracts</t>
  </si>
  <si>
    <t>Liquidity Reserve</t>
  </si>
  <si>
    <t>Class C</t>
  </si>
  <si>
    <t>Class D</t>
  </si>
  <si>
    <t>Class E</t>
  </si>
  <si>
    <t xml:space="preserve">    Interest Rate Basis: 1 M-Euribor / Fixed / Floating</t>
  </si>
  <si>
    <t>Counterparty status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</si>
  <si>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</si>
  <si>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</si>
  <si>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</si>
  <si>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</si>
  <si>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</si>
  <si>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</si>
  <si>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</si>
  <si>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</si>
  <si>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</si>
  <si>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</si>
  <si>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</si>
  <si>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</si>
  <si>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</si>
  <si>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</si>
  <si>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</si>
  <si>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</si>
  <si>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</si>
  <si>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</si>
  <si>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</si>
  <si>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</si>
  <si>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</si>
  <si>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</si>
  <si>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</si>
  <si>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</si>
  <si>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</si>
  <si>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</si>
  <si>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</si>
  <si>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</si>
  <si>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</si>
  <si>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</si>
  <si>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</si>
  <si>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</si>
  <si>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</si>
  <si>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</si>
  <si>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</si>
  <si>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</si>
  <si>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</si>
  <si>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</si>
  <si>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Interest on Class A Notes</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</si>
  <si>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</si>
  <si>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</si>
  <si>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</si>
  <si>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</si>
  <si>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</si>
  <si>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</si>
  <si>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</si>
  <si>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</si>
  <si>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</si>
  <si>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</si>
  <si>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</si>
  <si>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</si>
  <si>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Moody's</t>
  </si>
  <si>
    <t>RTG_MDY_OUTLOOK</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</si>
  <si>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</si>
  <si>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</si>
  <si>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</si>
  <si>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</si>
  <si>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</si>
  <si>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</si>
  <si>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</si>
  <si>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</si>
  <si>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</si>
  <si>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</si>
  <si>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22-24 Boulevard Royal</t>
  </si>
  <si>
    <t>Grand Duchy of Luxembourg</t>
  </si>
  <si>
    <t>L-2449 Luxembourg,</t>
  </si>
  <si>
    <t>Circumference FS (Luxembourg) S.A.</t>
  </si>
  <si>
    <t>Spain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</si>
  <si>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</si>
  <si>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</si>
  <si>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</si>
  <si>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</si>
  <si>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</si>
  <si>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</si>
  <si>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</si>
  <si>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</si>
  <si>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</si>
  <si>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</si>
  <si>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</si>
  <si>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</si>
  <si>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</si>
  <si>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</si>
  <si>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</si>
  <si>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</si>
  <si>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</si>
  <si>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</si>
  <si>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</si>
  <si>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</si>
  <si>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</si>
  <si>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</si>
  <si>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</si>
  <si>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</si>
  <si>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</si>
  <si>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</si>
  <si>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Class B PDL Sub-Ledger</t>
  </si>
  <si>
    <t>Class C PDL Sub-Ledger</t>
  </si>
  <si>
    <t>Class D PDL Sub-Ledger</t>
  </si>
  <si>
    <t>Class E PDL Sub-Ledger</t>
  </si>
  <si>
    <t>Class F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</si>
  <si>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</si>
  <si>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</si>
  <si>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</si>
  <si>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</si>
  <si>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</si>
  <si>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</si>
  <si>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C (If Most Senior Note or Class C PDL &lt; 25%)</t>
  </si>
  <si>
    <t>On or after to Sequential Payment Trigger Event: Redemption Class A</t>
  </si>
  <si>
    <t>Interest on Class D (If Most Senior Note or Class D PDL &lt; 25%)</t>
  </si>
  <si>
    <t>Interest on Class E (If Most Senior Note or Class E PDL &lt; 25%)</t>
  </si>
  <si>
    <t>Interest on Class F (If Most Senior Note or Class F PDL &lt; 25%)</t>
  </si>
  <si>
    <t>Crediting the PDLs until cleared</t>
  </si>
  <si>
    <t>Interest Class B (if not paid above)</t>
  </si>
  <si>
    <t>Interest Class C (if not paid above)</t>
  </si>
  <si>
    <t>Interest Class D (if not paid above)</t>
  </si>
  <si>
    <t>Interest Class E (if not paid above)</t>
  </si>
  <si>
    <t>Interest Class F (if not paid above)</t>
  </si>
  <si>
    <t>Principal Collections (including Deemed Collections)</t>
  </si>
  <si>
    <t>Regulatory Change Event  Redemption Date</t>
  </si>
  <si>
    <t>Early Amortisation Event</t>
  </si>
  <si>
    <t>Termination Event or Servicer Termination Event</t>
  </si>
  <si>
    <t>Liquidity Reserve Loan</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</si>
  <si>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</si>
  <si>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</si>
  <si>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</si>
  <si>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</si>
  <si>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</si>
  <si>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</si>
  <si>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</si>
  <si>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</si>
  <si>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</si>
  <si>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</si>
  <si>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</si>
  <si>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</si>
  <si>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</si>
  <si>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</si>
  <si>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</si>
  <si>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</si>
  <si>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</si>
  <si>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</si>
  <si>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</si>
  <si>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</si>
  <si>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</si>
  <si>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</si>
  <si>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</si>
  <si>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</si>
  <si>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</si>
  <si>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</si>
  <si>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</si>
  <si>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</si>
  <si>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</si>
  <si>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</si>
  <si>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</si>
  <si>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</si>
  <si>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</si>
  <si>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</si>
  <si>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</si>
  <si>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</si>
  <si>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</si>
  <si>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</si>
  <si>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</si>
  <si>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</si>
  <si>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</si>
  <si>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</si>
  <si>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</si>
  <si>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</si>
  <si>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</si>
  <si>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</si>
  <si>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</si>
  <si>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</si>
  <si>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</si>
  <si>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</si>
  <si>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</si>
  <si>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</si>
  <si>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</si>
  <si>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</si>
  <si>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</si>
  <si>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</si>
  <si>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</si>
  <si>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</si>
  <si>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</si>
  <si>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</si>
  <si>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</si>
  <si>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</si>
  <si>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</si>
  <si>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</si>
  <si>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</si>
  <si>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Pre-Enforcement Interest Priority of Payments</t>
  </si>
  <si>
    <t>Pre-Enforcement Principal Priority of Payments</t>
  </si>
  <si>
    <t>Net Note Available Principal Proceeds</t>
  </si>
  <si>
    <t>Collateral, Guarantee
or Replacement</t>
  </si>
  <si>
    <t xml:space="preserve">     of which Liquidity Reserve Excess Amount</t>
  </si>
  <si>
    <t>549300I0DV9V1WKUO071</t>
  </si>
  <si>
    <t>Other Interest Payments by the Seller to the Issuer</t>
  </si>
  <si>
    <t>Final Repurchase Price</t>
  </si>
  <si>
    <t xml:space="preserve">Amounts standing to the credit of the Commingling Reserve Account </t>
  </si>
  <si>
    <t>Mezzanine Loan Disbursement Amount paid by the Originator to the Issuer</t>
  </si>
  <si>
    <t>Principal Deficiency Sub-Ledger</t>
  </si>
  <si>
    <t>Mezzanine Loan Principal</t>
  </si>
  <si>
    <t>Calculation Date</t>
  </si>
  <si>
    <t>RTG_FITCH_LT_ISSUER_DEFAULT</t>
  </si>
  <si>
    <t>RTG_FITCH_ST_ISSUER_DEFAULT</t>
  </si>
  <si>
    <t>RTG_MDY_SHORT_TERM_DEBT</t>
  </si>
  <si>
    <t>RTG_FITCH_OUTLOOK</t>
  </si>
  <si>
    <t>Moody's Investors Service España, S.A.</t>
  </si>
  <si>
    <t>Set-Off Reserve Required Amount</t>
  </si>
  <si>
    <t>Outstanding BOP</t>
  </si>
  <si>
    <t>Oversea FS B.V.</t>
  </si>
  <si>
    <t>The Netherlands</t>
  </si>
  <si>
    <t>Principal Paying Agent, Calculation Agent,</t>
  </si>
  <si>
    <t>Cash Administrator, Interest Determination Agent</t>
  </si>
  <si>
    <t>&amp; Back-Up Servicer Facilitator</t>
  </si>
  <si>
    <t>Corporate Administrator</t>
  </si>
  <si>
    <t>L-2449 Luxembourg</t>
  </si>
  <si>
    <t>Joint Lead Managers</t>
  </si>
  <si>
    <t>Principe de Vergara, 131 - 6º Floor</t>
  </si>
  <si>
    <t>28002 Madrid</t>
  </si>
  <si>
    <t>Tax Call Redemption date</t>
  </si>
  <si>
    <t>In case of Rating Trigger breach: Set-Off Reserve Required Amount</t>
  </si>
  <si>
    <t xml:space="preserve">22-24 Boulevard Royal </t>
  </si>
  <si>
    <t>cumulative net loss ratio %</t>
  </si>
  <si>
    <t>Cumulative Net Losses</t>
  </si>
  <si>
    <t xml:space="preserve">Debit balance PDL </t>
  </si>
  <si>
    <t>Replacement</t>
  </si>
  <si>
    <t>Dynamic Net Loss Ratio</t>
  </si>
  <si>
    <t>Aggregate Outstanding Portfolio Principal Amount is lower than 10 per cent of the Aggregate Outstanding Portfolio Principal Amount</t>
  </si>
  <si>
    <t>Three Months Rolling Average Dynamic Net Loss Ratio *</t>
  </si>
  <si>
    <t>3 Months Rolling Average Dynamic Net Loss Ratio % *</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</si>
  <si>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</si>
  <si>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</si>
  <si>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</si>
  <si>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</si>
  <si>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</si>
  <si>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</si>
  <si>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</si>
  <si>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</si>
  <si>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</si>
  <si>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</si>
  <si>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</si>
  <si>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</si>
  <si>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</si>
  <si>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</si>
  <si>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</si>
  <si>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</si>
  <si>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</si>
  <si>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</si>
  <si>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</si>
  <si>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</si>
  <si>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</si>
  <si>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</si>
  <si>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</si>
  <si>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</si>
  <si>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</si>
  <si>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</si>
  <si>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</si>
  <si>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</si>
  <si>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</si>
  <si>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</si>
  <si>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</si>
  <si>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</si>
  <si>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</si>
  <si>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</si>
  <si>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</si>
  <si>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</si>
  <si>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</si>
  <si>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</si>
  <si>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</si>
  <si>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</si>
  <si>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</si>
  <si>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</si>
  <si>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</si>
  <si>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</si>
  <si>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</si>
  <si>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</si>
  <si>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</si>
  <si>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</si>
  <si>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</si>
  <si>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</si>
  <si>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</si>
  <si>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</si>
  <si>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</si>
  <si>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</si>
  <si>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</si>
  <si>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</si>
  <si>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</si>
  <si>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</si>
  <si>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</si>
  <si>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</si>
  <si>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</si>
  <si>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</si>
  <si>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</si>
  <si>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</si>
  <si>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</si>
  <si>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</si>
  <si>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</si>
  <si>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</si>
  <si>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</si>
  <si>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</si>
  <si>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</si>
  <si>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</si>
  <si>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</si>
  <si>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</si>
  <si>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</si>
  <si>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</si>
  <si>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</si>
  <si>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</si>
  <si>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</si>
  <si>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</si>
  <si>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</si>
  <si>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</si>
  <si>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</si>
  <si>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</si>
  <si>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</si>
  <si>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</si>
  <si>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</si>
  <si>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</si>
  <si>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</si>
  <si>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</si>
  <si>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</si>
  <si>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</si>
  <si>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</si>
  <si>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</si>
  <si>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</si>
  <si>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</si>
  <si>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</si>
  <si>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</si>
  <si>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Museumlaan 23581 HK, Utrecht</t>
  </si>
  <si>
    <t>3581 HK Utrecht</t>
  </si>
  <si>
    <t>Termination Payment [Re. Swap Agreement]</t>
  </si>
  <si>
    <t>Interests Liquidity Reserve Loan</t>
  </si>
  <si>
    <t>Principal Of Liquidity Reserve Loan</t>
  </si>
  <si>
    <t>Any Remaining Amount To The Seller</t>
  </si>
  <si>
    <t>Transaction Account Remaining Amount</t>
  </si>
  <si>
    <t>Recoveries recieved by the Seller</t>
  </si>
  <si>
    <t>Interest Earned on Transaction Account and Purchase Shortfall Account</t>
  </si>
  <si>
    <t>Amounts standing to the Commingling Reserve Account</t>
  </si>
  <si>
    <t>Amounts standing to the credit of the Liquidity Reserve Account</t>
  </si>
  <si>
    <t>Interests paid by the Interest Swap Counterparty to the Issuer</t>
  </si>
  <si>
    <t xml:space="preserve">Remaining Pre-Enforcement Available Principal Amount </t>
  </si>
  <si>
    <t>Other Amounts paid to the Issuer</t>
  </si>
  <si>
    <t xml:space="preserve">Amounts standing to the credit of the Set-Off Reserve Account </t>
  </si>
  <si>
    <t>Mezzanine Loan Interest</t>
  </si>
  <si>
    <t>DBRS</t>
  </si>
  <si>
    <t>DZ Bank AG</t>
  </si>
  <si>
    <t>DBRS Ratings Ltd.</t>
  </si>
  <si>
    <t>Structured Finance</t>
  </si>
  <si>
    <t>1 Minister Court, 10th floor, Mincing Lane</t>
  </si>
  <si>
    <t xml:space="preserve">EC3R 7 AA London </t>
  </si>
  <si>
    <t>United Kingom</t>
  </si>
  <si>
    <t>Interest on Class B (If Most Senior Note or Class B PDL &lt; 25%)</t>
  </si>
  <si>
    <r>
      <t>*</t>
    </r>
    <r>
      <rPr>
        <sz val="8"/>
        <rFont val="Arial"/>
        <family val="2"/>
      </rPr>
      <t>excl. any interest earned on any balance credited to the Commingling Reserve Account</t>
    </r>
  </si>
  <si>
    <r>
      <t>*</t>
    </r>
    <r>
      <rPr>
        <sz val="10"/>
        <rFont val="Arial"/>
        <family val="2"/>
      </rPr>
      <t>runs from .00 to .99</t>
    </r>
  </si>
  <si>
    <r>
      <t>Yield Range</t>
    </r>
    <r>
      <rPr>
        <i/>
        <vertAlign val="superscript"/>
        <sz val="11"/>
        <color indexed="8"/>
        <rFont val="Arial"/>
        <family val="2"/>
      </rPr>
      <t>*</t>
    </r>
  </si>
  <si>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</si>
  <si>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</si>
  <si>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</si>
  <si>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</si>
  <si>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</si>
  <si>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</si>
  <si>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</si>
  <si>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</si>
  <si>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</si>
  <si>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</si>
  <si>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</si>
  <si>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</si>
  <si>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</si>
  <si>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</si>
  <si>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</si>
  <si>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</si>
  <si>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</si>
  <si>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</si>
  <si>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</si>
  <si>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</si>
  <si>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</si>
  <si>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</si>
  <si>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</si>
  <si>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</si>
  <si>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</si>
  <si>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</si>
  <si>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</si>
  <si>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</si>
  <si>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</si>
  <si>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</si>
  <si>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</si>
  <si>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</si>
  <si>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</si>
  <si>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</si>
  <si>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</si>
  <si>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</si>
  <si>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</si>
  <si>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</si>
  <si>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</si>
  <si>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</si>
  <si>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secured</t>
  </si>
  <si>
    <t>unsecured</t>
  </si>
  <si>
    <t>Yes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</si>
  <si>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</si>
  <si>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</si>
  <si>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</si>
  <si>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</si>
  <si>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</si>
  <si>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</si>
  <si>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</si>
  <si>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</si>
  <si>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</si>
  <si>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</si>
  <si>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</si>
  <si>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</si>
  <si>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</si>
  <si>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</si>
  <si>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</si>
  <si>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</si>
  <si>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</si>
  <si>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</si>
  <si>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</si>
  <si>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</si>
  <si>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</si>
  <si>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</si>
  <si>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</si>
  <si>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</si>
  <si>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</si>
  <si>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</si>
  <si>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</si>
  <si>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</si>
  <si>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</si>
  <si>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</si>
  <si>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</si>
  <si>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</si>
  <si>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</si>
  <si>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</si>
  <si>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</si>
  <si>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</si>
  <si>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</si>
  <si>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</si>
  <si>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</si>
  <si>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</si>
  <si>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</si>
  <si>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</si>
  <si>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</si>
  <si>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</si>
  <si>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</si>
  <si>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</si>
  <si>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</si>
  <si>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</si>
  <si>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</si>
  <si>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</si>
  <si>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</si>
  <si>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</si>
  <si>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</si>
  <si>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</si>
  <si>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</si>
  <si>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</si>
  <si>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</si>
  <si>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</si>
  <si>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</si>
  <si>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</si>
  <si>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</si>
  <si>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</si>
  <si>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</si>
  <si>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</si>
  <si>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</si>
  <si>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</si>
  <si>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</si>
  <si>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</si>
  <si>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</si>
  <si>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</si>
  <si>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</si>
  <si>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</si>
  <si>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</si>
  <si>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</si>
  <si>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</si>
  <si>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</si>
  <si>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</si>
  <si>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</si>
  <si>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</si>
  <si>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</si>
  <si>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</si>
  <si>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</si>
  <si>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</si>
  <si>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</si>
  <si>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</si>
  <si>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</si>
  <si>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</si>
  <si>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</si>
  <si>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</si>
  <si>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</si>
  <si>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</si>
  <si>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</si>
  <si>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</si>
  <si>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</si>
  <si>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</si>
  <si>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</si>
  <si>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</si>
  <si>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</si>
  <si>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</si>
  <si>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</si>
  <si>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</si>
  <si>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</si>
  <si>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</si>
  <si>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</si>
  <si>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</si>
  <si>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</si>
  <si>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</si>
  <si>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</si>
  <si>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</si>
  <si>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</si>
  <si>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</si>
  <si>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</si>
  <si>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</si>
  <si>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</si>
  <si>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</si>
  <si>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</si>
  <si>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Kapitalmärkte Handel / ABS-Emissionen</t>
  </si>
  <si>
    <t>Platz der Republik</t>
  </si>
  <si>
    <t>60265 Frankfurt am Main</t>
  </si>
  <si>
    <t xml:space="preserve">    Class F only: Accrued Target Amortisation Amounts</t>
  </si>
  <si>
    <t>Principal Adition Amounts</t>
  </si>
  <si>
    <t>Amounts standing to the credit of the Purchase Shortfall Account</t>
  </si>
  <si>
    <t>Replacement Servicer Fee Reserve Shortfall</t>
  </si>
  <si>
    <t>Target Principal Redemption Amount Class F</t>
  </si>
  <si>
    <t>60325 Frankfurt am Main</t>
  </si>
  <si>
    <t>Bijlmerdreef 106</t>
  </si>
  <si>
    <t>1102 CT Amsterdam</t>
  </si>
  <si>
    <t>"Critical obligations rating" or higher of "issuer rating" and "senior unsecured debt rating"</t>
  </si>
  <si>
    <t>Clearing of rounding differences</t>
  </si>
  <si>
    <t>80000:</t>
  </si>
  <si>
    <t>100000:</t>
  </si>
  <si>
    <t>ING Bank N.V.</t>
  </si>
  <si>
    <t>F &amp; M &amp; D</t>
  </si>
  <si>
    <t>Other principal amount paid by the Seller to the Issuer</t>
  </si>
  <si>
    <t>Baden-Wuerttemberg</t>
  </si>
  <si>
    <t>Bavaria</t>
  </si>
  <si>
    <t>Berlin</t>
  </si>
  <si>
    <t>Brandenburg</t>
  </si>
  <si>
    <t>Bremen</t>
  </si>
  <si>
    <t>Hamburg</t>
  </si>
  <si>
    <t>Hesse</t>
  </si>
  <si>
    <t>Lower Saxony</t>
  </si>
  <si>
    <t>Mecklenburg-Western Pomerania</t>
  </si>
  <si>
    <t>North Rhine-Westphalia</t>
  </si>
  <si>
    <t>Rhineland-Palatinate</t>
  </si>
  <si>
    <t>Saarland</t>
  </si>
  <si>
    <t>Saxony-Anhalt</t>
  </si>
  <si>
    <t>Schleswig-Holstein</t>
  </si>
  <si>
    <t>Thuringia</t>
  </si>
  <si>
    <t>Email: structured.products@dzbank.de</t>
  </si>
  <si>
    <r>
      <t>Contact Details</t>
    </r>
    <r>
      <rPr>
        <sz val="14"/>
        <color rgb="FF000000"/>
        <rFont val="Arial"/>
        <family val="2"/>
      </rPr>
      <t xml:space="preserve"> </t>
    </r>
  </si>
  <si>
    <t>Team ABS</t>
  </si>
  <si>
    <r>
      <t>abs_ger@santander.de</t>
    </r>
    <r>
      <rPr>
        <sz val="10"/>
        <color rgb="FF000000"/>
        <rFont val="Arial"/>
        <family val="2"/>
      </rPr>
      <t xml:space="preserve"> </t>
    </r>
  </si>
  <si>
    <t>SC Germany Consumer 2024-1</t>
  </si>
  <si>
    <t>SC GERMANY S.A., COMPARTMENT CONSUMER 2024-1</t>
  </si>
  <si>
    <t>Transaction Security Trustee</t>
  </si>
  <si>
    <t>Account Bank</t>
  </si>
  <si>
    <t>Société Générale S.A.</t>
  </si>
  <si>
    <t>- from the first Payment Date in Jun 2024 until (and including) the Payment Date in Dec 2024</t>
  </si>
  <si>
    <t xml:space="preserve">- from the Payment Date in Jan 2025 until (and including) the Payment Date in Jun 2025 </t>
  </si>
  <si>
    <t>- from the Payment Date in Jul 2025 until (and including) the Payment Date in Dec 2025</t>
  </si>
  <si>
    <t>- from the Payment Date in Jan 2026 until (and including) the Payment Date in Sep 2026</t>
  </si>
  <si>
    <t>- from the Payment Date in Oct 2026 onwards</t>
  </si>
  <si>
    <t>- prior to or on 30 November 2024</t>
  </si>
  <si>
    <t xml:space="preserve">    Original Rating (DBRS / Moody's</t>
  </si>
  <si>
    <t xml:space="preserve">    Current Rating (DBRS / Moody's)*</t>
  </si>
  <si>
    <t>Liquidity Reserve Amount Replenishment</t>
  </si>
  <si>
    <t>Interests Expenses Advance Loan</t>
  </si>
  <si>
    <t>29 Boulevard Haussmann</t>
  </si>
  <si>
    <t>75009 Paris</t>
  </si>
  <si>
    <t>France</t>
  </si>
  <si>
    <t>Citibank, N.A. London Branch</t>
  </si>
  <si>
    <t>Citibank Europe plc, Germany Branch</t>
  </si>
  <si>
    <t>Ciudad Grupo Santander</t>
  </si>
  <si>
    <t>Avenida de Cantabria s/n</t>
  </si>
  <si>
    <t>Edificio Encinar</t>
  </si>
  <si>
    <t>28660, Boadilla del Monte</t>
  </si>
  <si>
    <t>Madrid</t>
  </si>
  <si>
    <t>XS2798860891</t>
  </si>
  <si>
    <t>XS2798860206</t>
  </si>
  <si>
    <t>XS2798860388</t>
  </si>
  <si>
    <t>XS2798860461</t>
  </si>
  <si>
    <t>XS2798860545</t>
  </si>
  <si>
    <t>XS2798860628</t>
  </si>
  <si>
    <t>* starting after the end of the Replenishment Period until and including the 25th Payment Date following the end of the Replenishment Period</t>
  </si>
  <si>
    <t>Amounts standing to the credit of the Expenses Advance Account</t>
  </si>
  <si>
    <t>Principal Of Expenses Advance Loan</t>
  </si>
  <si>
    <t>After Pro Rata Payment Trigger Event: Class A Pro Rata Principal Payment Amount</t>
  </si>
  <si>
    <t>After Pro Rata Payment Trigger Event: Class B Pro Rata Principal Payment Amount</t>
  </si>
  <si>
    <t>After Pro Rata Payment Trigger Event: Class C Pro Rata Principal Payment Amount</t>
  </si>
  <si>
    <t>After Pro Rata Payment Trigger Event: Class D Pro Rata Principal Payment Amount</t>
  </si>
  <si>
    <t>After Pro Rata Payment Trigger Event: Class E Pro Rata Principal Payment Amount</t>
  </si>
  <si>
    <t>Credit the Replacement Servicer Fee Reserve [If RSF Reserve Funding Failure occurred]</t>
  </si>
  <si>
    <t>Class A: Sequential Principal</t>
  </si>
  <si>
    <t>Full Redemption Class B - F (on or after Regulatory Change Event)</t>
  </si>
  <si>
    <t>On or after Sequential Payment Trigger Event: Redemption Class B</t>
  </si>
  <si>
    <t>On or after Sequential Payment Trigger Event: Redemption Class C</t>
  </si>
  <si>
    <t>On or after Sequential Payment Trigger Event: Redemption Class D</t>
  </si>
  <si>
    <t>On or after Sequential Payment Trigger Event: Redemption Class E</t>
  </si>
  <si>
    <t>On or after Sequential Payment Trigger Event: Redemption Class F</t>
  </si>
  <si>
    <t>Reuterweg 16</t>
  </si>
  <si>
    <t>60323 Frankfurt am Main</t>
  </si>
  <si>
    <t>Citigroup Centre</t>
  </si>
  <si>
    <t>Canary Wharf</t>
  </si>
  <si>
    <t>London E14 5LB</t>
  </si>
  <si>
    <t>United Kingdom</t>
  </si>
  <si>
    <t>Canada Square</t>
  </si>
  <si>
    <t>1mE+65bp</t>
  </si>
  <si>
    <t>1mE+100bp</t>
  </si>
  <si>
    <t>1mE+130bp</t>
  </si>
  <si>
    <t>1mE+175bp</t>
  </si>
  <si>
    <t>1mE+360bp</t>
  </si>
  <si>
    <t>1mE+480bp</t>
  </si>
  <si>
    <t>Any debit of F PDL higher than EUR 0 on two consecutive Payment Dates</t>
  </si>
  <si>
    <t>AAA (sf) / Aaa (sf)</t>
  </si>
  <si>
    <t>AA (sf) / Aa1 (sf)</t>
  </si>
  <si>
    <t>A (sf) / A1 (sf)</t>
  </si>
  <si>
    <t>BBB (high) (sf) / Baa2 (sf)</t>
  </si>
  <si>
    <t>BB (high) (sf) / Ba1 (sf)</t>
  </si>
  <si>
    <t>BB (high) (sf) / Ba2 (sf)</t>
  </si>
  <si>
    <t>Interest Swap Counterparty</t>
  </si>
  <si>
    <t>Data Trustee</t>
  </si>
  <si>
    <t>Rating Agencies</t>
  </si>
  <si>
    <t>Circumference Services S.à r.l.</t>
  </si>
  <si>
    <t>A3</t>
  </si>
  <si>
    <t>Baa1</t>
  </si>
  <si>
    <t>A</t>
  </si>
  <si>
    <t>BBB</t>
  </si>
  <si>
    <t>* Last rating action as of 23.05.2024</t>
  </si>
  <si>
    <t>Pro Rata Payment Trigger Event</t>
  </si>
  <si>
    <t>Class A Credit Enhancement</t>
  </si>
  <si>
    <t>Saxony</t>
  </si>
  <si>
    <t>Excess Spread equals WA Portfolio Yield minus Fixed Swap Rate minus WA Notes Margin.</t>
  </si>
  <si>
    <r>
      <t xml:space="preserve">Maturity date of the notes under the assumption of inter alia (a) a 15 </t>
    </r>
    <r>
      <rPr>
        <b/>
        <sz val="10"/>
        <rFont val="Arial"/>
        <family val="2"/>
      </rPr>
      <t>%</t>
    </r>
    <r>
      <rPr>
        <sz val="10"/>
        <rFont val="Arial"/>
        <family val="2"/>
      </rPr>
      <t xml:space="preserve"> constant prepayment rate, (b) an exercised Clean-Up Call at 10%.</t>
    </r>
  </si>
  <si>
    <t>the risk that a Debtor in its capacity as insured person is unable to pay the Loan Instalments owed by such Debtor life insurance.</t>
  </si>
  <si>
    <t>Any amount received on defaulted contracts.</t>
  </si>
  <si>
    <t>Protection against set-off risks due to (X) capitalized service fees (e.g. Payment Protection Insurance, Gap Insurance, Repair Cost Insurance) and (Y) deposits.</t>
  </si>
  <si>
    <t>Amortising</t>
  </si>
  <si>
    <t>IDCONTR_PACK</t>
  </si>
  <si>
    <t>RANGE</t>
  </si>
  <si>
    <t>_FREQ_</t>
  </si>
  <si>
    <t>RANGEVAL</t>
  </si>
  <si>
    <t>0000046</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</si>
  <si>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</si>
  <si>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</si>
  <si>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</si>
  <si>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</si>
  <si>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</si>
  <si>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</si>
  <si>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</si>
  <si>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</si>
  <si>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</si>
  <si>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</si>
  <si>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</si>
  <si>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</si>
  <si>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</si>
  <si>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</si>
  <si>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</si>
  <si>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</si>
  <si>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</si>
  <si>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</si>
  <si>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</si>
  <si>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</si>
  <si>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</si>
  <si>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</si>
  <si>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</si>
  <si>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</si>
  <si>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</si>
  <si>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</si>
  <si>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</si>
  <si>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</si>
  <si>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</si>
  <si>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</si>
  <si>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</si>
  <si>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</si>
  <si>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</si>
  <si>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</si>
  <si>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</si>
  <si>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</si>
  <si>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</si>
  <si>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</si>
  <si>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</si>
  <si>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</si>
  <si>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</si>
  <si>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</si>
  <si>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</si>
  <si>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</si>
  <si>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</si>
  <si>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</si>
  <si>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</si>
  <si>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</si>
  <si>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</si>
  <si>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</si>
  <si>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</si>
  <si>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</si>
  <si>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</si>
  <si>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</si>
  <si>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</si>
  <si>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</si>
  <si>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</si>
  <si>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</si>
  <si>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</si>
  <si>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</si>
  <si>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</si>
  <si>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</si>
  <si>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</si>
  <si>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</si>
  <si>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</si>
  <si>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</si>
  <si>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</si>
  <si>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</si>
  <si>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</si>
  <si>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</si>
  <si>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</si>
  <si>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</si>
  <si>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</si>
  <si>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</si>
  <si>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</si>
  <si>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</si>
  <si>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</si>
  <si>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</si>
  <si>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</si>
  <si>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</si>
  <si>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</si>
  <si>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</si>
  <si>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</si>
  <si>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</si>
  <si>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</si>
  <si>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</si>
  <si>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</si>
  <si>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</si>
  <si>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</si>
  <si>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</si>
  <si>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</si>
  <si>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</si>
  <si>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</si>
  <si>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</si>
  <si>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</si>
  <si>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</si>
  <si>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</si>
  <si>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</si>
  <si>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</si>
  <si>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</si>
  <si>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</si>
  <si>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</si>
  <si>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</si>
  <si>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</si>
  <si>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</si>
  <si>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</si>
  <si>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</si>
  <si>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</si>
  <si>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</si>
  <si>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 xml:space="preserve">     46</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</si>
  <si>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</si>
  <si>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</si>
  <si>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</si>
  <si>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</si>
  <si>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</si>
  <si>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</si>
  <si>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</si>
  <si>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</si>
  <si>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</si>
  <si>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</si>
  <si>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</si>
  <si>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</si>
  <si>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</si>
  <si>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</si>
  <si>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</si>
  <si>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</si>
  <si>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</si>
  <si>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</si>
  <si>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</si>
  <si>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</si>
  <si>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</si>
  <si>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</si>
  <si>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</si>
  <si>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</si>
  <si>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</si>
  <si>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</si>
  <si>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</si>
  <si>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</si>
  <si>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</si>
  <si>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</si>
  <si>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</si>
  <si>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</si>
  <si>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</si>
  <si>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</si>
  <si>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</si>
  <si>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</si>
  <si>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</si>
  <si>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</si>
  <si>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</si>
  <si>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</si>
  <si>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Initial</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</si>
  <si>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</si>
  <si>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</si>
  <si>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</si>
  <si>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</si>
  <si>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</si>
  <si>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</si>
  <si>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</si>
  <si>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</si>
  <si>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</si>
  <si>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</si>
  <si>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</si>
  <si>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</si>
  <si>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</si>
  <si>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</si>
  <si>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</si>
  <si>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</si>
  <si>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</si>
  <si>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</si>
  <si>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</si>
  <si>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</si>
  <si>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</si>
  <si>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</si>
  <si>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</si>
  <si>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</si>
  <si>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</si>
  <si>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</si>
  <si>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</si>
  <si>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</si>
  <si>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</si>
  <si>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</si>
  <si>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</si>
  <si>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</si>
  <si>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</si>
  <si>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</si>
  <si>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</si>
  <si>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</si>
  <si>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</si>
  <si>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</si>
  <si>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</si>
  <si>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</si>
  <si>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</si>
  <si>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</si>
  <si>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</si>
  <si>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period_104</t>
  </si>
  <si>
    <t>period_105</t>
  </si>
  <si>
    <t>period_106</t>
  </si>
  <si>
    <t>period_107</t>
  </si>
  <si>
    <t>period_108</t>
  </si>
  <si>
    <t>period_109</t>
  </si>
  <si>
    <t>period_11</t>
  </si>
  <si>
    <t>period_110</t>
  </si>
  <si>
    <t>period_111</t>
  </si>
  <si>
    <t>period_112</t>
  </si>
  <si>
    <t>period_113</t>
  </si>
  <si>
    <t>period_114</t>
  </si>
  <si>
    <t>period_115</t>
  </si>
  <si>
    <t>period_116</t>
  </si>
  <si>
    <t>period_117</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</si>
  <si>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</si>
  <si>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</si>
  <si>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</si>
  <si>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</si>
  <si>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</si>
  <si>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</si>
  <si>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</si>
  <si>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</si>
  <si>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</si>
  <si>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</si>
  <si>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</si>
  <si>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</si>
  <si>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</si>
  <si>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</si>
  <si>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</si>
  <si>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</si>
  <si>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</si>
  <si>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</si>
  <si>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</si>
  <si>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</si>
  <si>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</si>
  <si>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</si>
  <si>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</si>
  <si>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</si>
  <si>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</si>
  <si>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</si>
  <si>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</si>
  <si>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</si>
  <si>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</si>
  <si>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</si>
  <si>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</si>
  <si>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</si>
  <si>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</si>
  <si>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</si>
  <si>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</si>
  <si>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</si>
  <si>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</si>
  <si>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</si>
  <si>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</si>
  <si>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</si>
  <si>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</si>
  <si>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</si>
  <si>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</si>
  <si>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</si>
  <si>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</si>
  <si>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</si>
  <si>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</si>
  <si>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</si>
  <si>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</si>
  <si>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</si>
  <si>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</si>
  <si>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</si>
  <si>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</si>
  <si>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</si>
  <si>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</si>
  <si>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</si>
  <si>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</si>
  <si>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</si>
  <si>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</si>
  <si>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</si>
  <si>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</si>
  <si>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</si>
  <si>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</si>
  <si>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</si>
  <si>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</si>
  <si>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</si>
  <si>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</si>
  <si>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</si>
  <si>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</si>
  <si>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</si>
  <si>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</si>
  <si>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</si>
  <si>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</si>
  <si>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</si>
  <si>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</si>
  <si>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</si>
  <si>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</si>
  <si>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</si>
  <si>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</si>
  <si>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</si>
  <si>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</si>
  <si>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</si>
  <si>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</si>
  <si>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</si>
  <si>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</si>
  <si>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</si>
  <si>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</si>
  <si>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</si>
  <si>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</si>
  <si>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</si>
  <si>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</si>
  <si>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</si>
  <si>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</si>
  <si>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</si>
  <si>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</si>
  <si>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</si>
  <si>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</si>
  <si>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</si>
  <si>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</si>
  <si>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</si>
  <si>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</si>
  <si>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</si>
  <si>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</si>
  <si>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</si>
  <si>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</si>
  <si>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</si>
  <si>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</si>
  <si>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</si>
  <si>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</si>
  <si>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</si>
  <si>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</si>
  <si>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</si>
  <si>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</si>
  <si>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</si>
  <si>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</si>
  <si>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</si>
  <si>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</si>
  <si>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</si>
  <si>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</si>
  <si>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</si>
  <si>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</si>
  <si>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</si>
  <si>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</si>
  <si>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</si>
  <si>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</si>
  <si>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</si>
  <si>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</si>
  <si>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</si>
  <si>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</si>
  <si>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</si>
  <si>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</si>
  <si>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</si>
  <si>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</si>
  <si>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</si>
  <si>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</si>
  <si>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</si>
  <si>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</si>
  <si>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</si>
  <si>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</si>
  <si>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</si>
  <si>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</si>
  <si>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PACKAGE</t>
  </si>
  <si>
    <t>VARIABLE</t>
  </si>
  <si>
    <t>NUM</t>
  </si>
  <si>
    <t>DATE</t>
  </si>
  <si>
    <t>STRG</t>
  </si>
  <si>
    <t>F6</t>
  </si>
  <si>
    <t>F7</t>
  </si>
  <si>
    <t>F8</t>
  </si>
  <si>
    <t>Reporting_Date</t>
  </si>
  <si>
    <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</si>
  <si>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</si>
  <si>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</si>
  <si>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</si>
  <si>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</si>
  <si>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</si>
  <si>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</si>
  <si>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</si>
  <si>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</si>
  <si>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</si>
  <si>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</si>
  <si>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</si>
  <si>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</si>
  <si>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</si>
  <si>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</si>
  <si>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</si>
  <si>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</si>
  <si>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</si>
  <si>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</si>
  <si>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</si>
  <si>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</si>
  <si>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</si>
  <si>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</si>
  <si>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</si>
  <si>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Liquidity_Reserve_cashin</t>
  </si>
  <si>
    <t>Liquidity_Reserve_eop</t>
  </si>
  <si>
    <t>Liquidity_Reserve_fund</t>
  </si>
  <si>
    <t>Com_Reserve_bop</t>
  </si>
  <si>
    <t>Com_Reserve_cashout</t>
  </si>
  <si>
    <t>Com_Reserve_cashin</t>
  </si>
  <si>
    <t>Com_Reserve_eop</t>
  </si>
  <si>
    <t>Com_Reserve_required</t>
  </si>
  <si>
    <t>Com_Reserve_Trigger</t>
  </si>
  <si>
    <t>Setoff_Reserve_bop</t>
  </si>
  <si>
    <t>Setoff_Reserve_cashout</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</si>
  <si>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</si>
  <si>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</si>
  <si>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</si>
  <si>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</si>
  <si>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</si>
  <si>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</si>
  <si>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</si>
  <si>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</si>
  <si>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</si>
  <si>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</si>
  <si>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</si>
  <si>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</si>
  <si>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</si>
  <si>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</si>
  <si>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</si>
  <si>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</si>
  <si>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</si>
  <si>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</si>
  <si>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</si>
  <si>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</si>
  <si>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</si>
  <si>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</si>
  <si>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</si>
  <si>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</si>
  <si>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</si>
  <si>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</si>
  <si>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</si>
  <si>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</si>
  <si>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</si>
  <si>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</si>
  <si>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</si>
  <si>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</si>
  <si>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</si>
  <si>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</si>
  <si>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</si>
  <si>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</si>
  <si>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</si>
  <si>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</si>
  <si>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Cum_Default_Ratio</t>
  </si>
  <si>
    <t>Purchase_Shortfall_before_previous</t>
  </si>
  <si>
    <t>Delinquency_Ratio</t>
  </si>
  <si>
    <t>Dynamic_Loss_Ratio_3M</t>
  </si>
  <si>
    <t>Debit_Balance_PDL_previous</t>
  </si>
  <si>
    <t>Debit_Balance_PDL_current</t>
  </si>
  <si>
    <t>Total_Notes_bop</t>
  </si>
  <si>
    <t>A_Notes_bop</t>
  </si>
  <si>
    <t>B_Notes_bop</t>
  </si>
  <si>
    <t>C_Notes_bop</t>
  </si>
  <si>
    <t>D_Notes_bop</t>
  </si>
  <si>
    <t>E_Notes_bop</t>
  </si>
  <si>
    <t>F_Notes_bop</t>
  </si>
  <si>
    <t>Amortisation</t>
  </si>
  <si>
    <t>Total_Redemption</t>
  </si>
  <si>
    <t>A_Redemption</t>
  </si>
  <si>
    <t>B_Redemption</t>
  </si>
  <si>
    <t>C_Redemption</t>
  </si>
  <si>
    <t>D_Redemption</t>
  </si>
  <si>
    <t>E_Redemption</t>
  </si>
  <si>
    <t>F_Redemption</t>
  </si>
  <si>
    <t>Interest_Days</t>
  </si>
  <si>
    <t>A_Interests</t>
  </si>
  <si>
    <t>B_Interests</t>
  </si>
  <si>
    <t>C_Interests</t>
  </si>
  <si>
    <t>D_Interests</t>
  </si>
  <si>
    <t>E_Interests</t>
  </si>
  <si>
    <t>F_Interests</t>
  </si>
  <si>
    <t>1M_Euribor</t>
  </si>
  <si>
    <t>F_accrued_Target_Amortisation</t>
  </si>
  <si>
    <t>Interest_collections</t>
  </si>
  <si>
    <t>Other_interest_Payments</t>
  </si>
  <si>
    <t>Recoveries_received</t>
  </si>
  <si>
    <t>Interests_earned_Transaction_Purchase_Shortfall_Account</t>
  </si>
  <si>
    <t>Amounts_ComReserve_Account</t>
  </si>
  <si>
    <t>Amounts_Liqudity_Reserve_Account</t>
  </si>
  <si>
    <t>Amounts_Expense_Advance_Account</t>
  </si>
  <si>
    <t>Interests_paid_Swap_Counterparty</t>
  </si>
  <si>
    <t>Principal_addition_amounts</t>
  </si>
  <si>
    <t>Other_amounts_paid_Interests</t>
  </si>
  <si>
    <t>Remaining_PreEnforcement_available_Principal_amount</t>
  </si>
  <si>
    <t>Available_Interest_amount</t>
  </si>
  <si>
    <t>Senior_Expenses</t>
  </si>
  <si>
    <t>Replacement_servicer_fee_reserve</t>
  </si>
  <si>
    <t>Swap_payment</t>
  </si>
  <si>
    <t>A_interest_amount_notes</t>
  </si>
  <si>
    <t>B_interest_amount_notes</t>
  </si>
  <si>
    <t>C_interest_amount_notes</t>
  </si>
  <si>
    <t>D_interest_amount_notes</t>
  </si>
  <si>
    <t>E_interest_amount_notes</t>
  </si>
  <si>
    <t>F_interest_amount_notes</t>
  </si>
  <si>
    <t>Liquidity_Reserve_Account</t>
  </si>
  <si>
    <t>Elimination_PDL</t>
  </si>
  <si>
    <t>B_Interests_notes</t>
  </si>
  <si>
    <t>C_Interests_notes</t>
  </si>
  <si>
    <t>D_Interests_notes</t>
  </si>
  <si>
    <t>E_Interests_notes</t>
  </si>
  <si>
    <t>F_Interests_notes</t>
  </si>
  <si>
    <t>F_Principal_Redemption_amount</t>
  </si>
  <si>
    <t>Mezzanine_loan_interests</t>
  </si>
  <si>
    <t>Termination_payment</t>
  </si>
  <si>
    <t>Liqudity_Reserve_Interests</t>
  </si>
  <si>
    <t>Liqudity_Reserve_Principal</t>
  </si>
  <si>
    <t>Expenses_Advance_Loan_Interests</t>
  </si>
  <si>
    <t>Expenses_Advance_Loan_Principal</t>
  </si>
  <si>
    <t>Credit_Replacement_Servicer_Fee</t>
  </si>
  <si>
    <t>Remaining_amount_seller</t>
  </si>
  <si>
    <t>Principal_collections</t>
  </si>
  <si>
    <t>Other_Principal_amount</t>
  </si>
  <si>
    <t>Final_Repurchase_Price</t>
  </si>
  <si>
    <t>Amounts_credit_Com_Reserve_Account</t>
  </si>
  <si>
    <t>Amounts_credit_SettOff_Reserve_Account</t>
  </si>
  <si>
    <t>Amounts_credit_Purchase_Shortfall_Account</t>
  </si>
  <si>
    <t>Mezzanine_loan_disbursement</t>
  </si>
  <si>
    <t>PDL</t>
  </si>
  <si>
    <t>Other_amounts_paid_Principal</t>
  </si>
  <si>
    <t>Available_Principal_amount</t>
  </si>
  <si>
    <t>Addition_amounts</t>
  </si>
  <si>
    <t>Net_note_available_Principal_Proceeds</t>
  </si>
  <si>
    <t>Purchase_Shortfall</t>
  </si>
  <si>
    <t>A_sequential_Principal</t>
  </si>
  <si>
    <t>A_prorata_Principal</t>
  </si>
  <si>
    <t>B_prorata_Principal</t>
  </si>
  <si>
    <t>C_prorata_Principal</t>
  </si>
  <si>
    <t>D_prorata_Principal</t>
  </si>
  <si>
    <t>E_prorata_Principal</t>
  </si>
  <si>
    <t>A_sequential_Principal_after_Trigger</t>
  </si>
  <si>
    <t>Full_Redemption_B_F</t>
  </si>
  <si>
    <t>B_Full_Redemption</t>
  </si>
  <si>
    <t>C_Full_Redemption</t>
  </si>
  <si>
    <t>D_Full_Redemption</t>
  </si>
  <si>
    <t>E_Full_Redemption</t>
  </si>
  <si>
    <t>F_Full_Redemption</t>
  </si>
  <si>
    <t>Mezzanine_loan_principal</t>
  </si>
  <si>
    <t>Clearing_rounding_differences</t>
  </si>
  <si>
    <t>Transaction_Account_remaining_amount</t>
  </si>
  <si>
    <t>Total_Interests_accrued</t>
  </si>
  <si>
    <t>A_Interests_accrued</t>
  </si>
  <si>
    <t>B_Interests_accrued</t>
  </si>
  <si>
    <t>C_Interests_accrued</t>
  </si>
  <si>
    <t>D_Interests_accrued</t>
  </si>
  <si>
    <t>E_Interests_accrued</t>
  </si>
  <si>
    <t>F_Interests_accrued</t>
  </si>
  <si>
    <t>Reserve_Interests_accrued</t>
  </si>
  <si>
    <t>Total_Interests_accrued_cum</t>
  </si>
  <si>
    <t>A_Interests_accrued_cum</t>
  </si>
  <si>
    <t>B_Interests_accrued_cum</t>
  </si>
  <si>
    <t>C_Interests_accrued_cum</t>
  </si>
  <si>
    <t>D_Interests_accrued_cum</t>
  </si>
  <si>
    <t>E_Interests_accrued_cum</t>
  </si>
  <si>
    <t>F_Interests_accrued_cum</t>
  </si>
  <si>
    <t>Reserve_Interests_accrued_cum</t>
  </si>
  <si>
    <t>Total_Interest_Payments</t>
  </si>
  <si>
    <t>A_Interest_Payments</t>
  </si>
  <si>
    <t>B_Interest_Payments</t>
  </si>
  <si>
    <t>C_Interest_Payments</t>
  </si>
  <si>
    <t>D_Interest_Payments</t>
  </si>
  <si>
    <t>E_Interest_Payments</t>
  </si>
  <si>
    <t>F_Interest_Payments</t>
  </si>
  <si>
    <t>Reserve_Interest_Payments</t>
  </si>
  <si>
    <t>Total_Interest_Payments_cum</t>
  </si>
  <si>
    <t>A_Interest_Payments_cum</t>
  </si>
  <si>
    <t>B_Interest_Payments_cum</t>
  </si>
  <si>
    <t>C_Interest_Payments_cum</t>
  </si>
  <si>
    <t>D_Interest_Payments_cum</t>
  </si>
  <si>
    <t>E_Interest_Payments_cum</t>
  </si>
  <si>
    <t>F_Interest_Payments_cum</t>
  </si>
  <si>
    <t>Reserve_Interest_Payments_cum</t>
  </si>
  <si>
    <t>Total_Interests_unpaid</t>
  </si>
  <si>
    <t>A_Interests_unpaid</t>
  </si>
  <si>
    <t>B_Interests_unpaid</t>
  </si>
  <si>
    <t>C_Interests_unpaid</t>
  </si>
  <si>
    <t>D_Interests_unpaid</t>
  </si>
  <si>
    <t>E_Interests_unpaid</t>
  </si>
  <si>
    <t>F_Interests_unpaid</t>
  </si>
  <si>
    <t>Reserve_Interests_unpaid</t>
  </si>
  <si>
    <t>Total_Interests_unpaid_cum</t>
  </si>
  <si>
    <t>A_Interests_unpaid_cum</t>
  </si>
  <si>
    <t>B_Interests_unpaid_cum</t>
  </si>
  <si>
    <t>C_Interests_unpaid_cum</t>
  </si>
  <si>
    <t>D_Interests_unpaid_cum</t>
  </si>
  <si>
    <t>E_Interests_unpaid_cum</t>
  </si>
  <si>
    <t>F_Interests_unpaid_cum</t>
  </si>
  <si>
    <t>Reserve_Interests_unpaid_cum</t>
  </si>
  <si>
    <t>Reserve_outstanding</t>
  </si>
  <si>
    <t>Swap_Notional_amount</t>
  </si>
  <si>
    <t>Fixed_Rate</t>
  </si>
  <si>
    <t>Floating_Rate</t>
  </si>
  <si>
    <t>Net_Swap_Payments</t>
  </si>
  <si>
    <t>Swap_Notional_amount_next</t>
  </si>
  <si>
    <t>F2</t>
  </si>
  <si>
    <t>F3</t>
  </si>
  <si>
    <t>F4</t>
  </si>
  <si>
    <t>F5</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</si>
  <si>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</si>
  <si>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</si>
  <si>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</si>
  <si>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</si>
  <si>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</si>
  <si>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</si>
  <si>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</si>
  <si>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</si>
  <si>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</si>
  <si>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</si>
  <si>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</si>
  <si>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</si>
  <si>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</si>
  <si>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</si>
  <si>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</si>
  <si>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</si>
  <si>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</si>
  <si>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</si>
  <si>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</si>
  <si>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</si>
  <si>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</si>
  <si>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</si>
  <si>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</si>
  <si>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</si>
  <si>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</si>
  <si>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</si>
  <si>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</si>
  <si>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</si>
  <si>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</si>
  <si>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</si>
  <si>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</si>
  <si>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</si>
  <si>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</si>
  <si>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</si>
  <si>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</si>
  <si>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</si>
  <si>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</si>
  <si>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</si>
  <si>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</si>
  <si>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</si>
  <si>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</si>
  <si>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</si>
  <si>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</si>
  <si>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</si>
  <si>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</si>
  <si>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</si>
  <si>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</si>
  <si>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</si>
  <si>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</si>
  <si>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</si>
  <si>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</si>
  <si>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</si>
  <si>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</si>
  <si>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</si>
  <si>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</si>
  <si>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</si>
  <si>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</si>
  <si>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</si>
  <si>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</si>
  <si>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</si>
  <si>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</si>
  <si>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</si>
  <si>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</si>
  <si>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</si>
  <si>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</si>
  <si>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</si>
  <si>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</si>
  <si>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</si>
  <si>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</si>
  <si>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</si>
  <si>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</si>
  <si>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</si>
  <si>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</si>
  <si>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</si>
  <si>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</si>
  <si>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</si>
  <si>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</si>
  <si>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</si>
  <si>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</si>
  <si>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</si>
  <si>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</si>
  <si>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</si>
  <si>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</si>
  <si>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</si>
  <si>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</si>
  <si>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</si>
  <si>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</si>
  <si>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</si>
  <si>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</si>
  <si>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</si>
  <si>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</si>
  <si>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</si>
  <si>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</si>
  <si>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</si>
  <si>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</si>
  <si>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</si>
  <si>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</si>
  <si>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</si>
  <si>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</si>
  <si>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</si>
  <si>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</si>
  <si>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</si>
  <si>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</si>
  <si>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</si>
  <si>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</si>
  <si>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</si>
  <si>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</si>
  <si>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</si>
  <si>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</si>
  <si>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</si>
  <si>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</si>
  <si>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</si>
  <si>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</si>
  <si>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</si>
  <si>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</si>
  <si>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</si>
  <si>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</si>
  <si>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</si>
  <si>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</si>
  <si>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</si>
  <si>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</si>
  <si>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</si>
  <si>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</si>
  <si>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</si>
  <si>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</si>
  <si>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</si>
  <si>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</si>
  <si>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</si>
  <si>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</si>
  <si>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</si>
  <si>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</si>
  <si>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</si>
  <si>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</si>
  <si>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</si>
  <si>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</si>
  <si>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</si>
  <si>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</si>
  <si>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</si>
  <si>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</si>
  <si>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</si>
  <si>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</si>
  <si>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</si>
  <si>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</si>
  <si>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</si>
  <si>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</si>
  <si>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</si>
  <si>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</si>
  <si>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</si>
  <si>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</si>
  <si>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</si>
  <si>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</si>
  <si>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</si>
  <si>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</si>
  <si>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</si>
  <si>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</si>
  <si>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</si>
  <si>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</si>
  <si>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</si>
  <si>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</si>
  <si>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</si>
  <si>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</si>
  <si>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</si>
  <si>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OUTSTANDING</t>
  </si>
  <si>
    <t>SCHEDULED</t>
  </si>
  <si>
    <t>PREPAYMENTS</t>
  </si>
  <si>
    <t>COLLECTIONS</t>
  </si>
  <si>
    <t>RATE</t>
  </si>
  <si>
    <t>portfolio_1</t>
  </si>
  <si>
    <t>portfolio_2</t>
  </si>
  <si>
    <t>portfolio_3</t>
  </si>
  <si>
    <t>portfolio_4</t>
  </si>
  <si>
    <t>portfolio_5</t>
  </si>
  <si>
    <t>portfolio_6</t>
  </si>
  <si>
    <t>portfolio_7</t>
  </si>
  <si>
    <t>portfolio_8</t>
  </si>
  <si>
    <t>portfolio_9</t>
  </si>
  <si>
    <t>portfolio_10</t>
  </si>
  <si>
    <t>portfolio_11</t>
  </si>
  <si>
    <t>portfolio_12</t>
  </si>
  <si>
    <t>portfolio_13</t>
  </si>
  <si>
    <t>portfolio_14</t>
  </si>
  <si>
    <t>portfolio_15</t>
  </si>
  <si>
    <t>portfolio_16</t>
  </si>
  <si>
    <t>POOL</t>
  </si>
  <si>
    <t>COUNTERPARTY</t>
  </si>
  <si>
    <t>RTG_MDY_LT_CRA</t>
  </si>
  <si>
    <t>RTG_MDY_ST_CRA</t>
  </si>
  <si>
    <t>RTG_FITCH_SEN_UNSECURED</t>
  </si>
  <si>
    <t>RTG_FITCH_SHORT_TERM</t>
  </si>
  <si>
    <t>RTG_FITCH_DERIV_COUNTERPARTY</t>
  </si>
  <si>
    <t>RTG_DBRS_SENIOR_UNSECURED</t>
  </si>
  <si>
    <t>RTG_DBRS_LT_BANK_DEPOSITS</t>
  </si>
  <si>
    <t>RTG_DBRS_ST</t>
  </si>
  <si>
    <t>RTG_DBRS_OUTLOOK</t>
  </si>
  <si>
    <t>RTG_DATE</t>
  </si>
  <si>
    <t>ABS_RAT</t>
  </si>
  <si>
    <t>A3(cr)</t>
  </si>
  <si>
    <t>A2</t>
  </si>
  <si>
    <t>P-2(cr)</t>
  </si>
  <si>
    <t>P-1</t>
  </si>
  <si>
    <t>POS</t>
  </si>
  <si>
    <t>A+</t>
  </si>
  <si>
    <t>F1</t>
  </si>
  <si>
    <t>STABLE</t>
  </si>
  <si>
    <t>A+(dcr)</t>
  </si>
  <si>
    <t>AH</t>
  </si>
  <si>
    <t>R-1M</t>
  </si>
  <si>
    <t>Bank of New York Mellon</t>
  </si>
  <si>
    <t>Aa1(cr)</t>
  </si>
  <si>
    <t>Aa2</t>
  </si>
  <si>
    <t>P-1(cr)</t>
  </si>
  <si>
    <t>AA</t>
  </si>
  <si>
    <t>F1+</t>
  </si>
  <si>
    <t>AA(dcr)</t>
  </si>
  <si>
    <t>AAH</t>
  </si>
  <si>
    <t>R-1H</t>
  </si>
  <si>
    <t>Bank of New York Mellon SA-NV/Luxembourg</t>
  </si>
  <si>
    <t>N.A.</t>
  </si>
  <si>
    <t>Aa3(cr)</t>
  </si>
  <si>
    <t>AAL</t>
  </si>
  <si>
    <t>Aa3</t>
  </si>
  <si>
    <t>Aa2(cr)</t>
  </si>
  <si>
    <t>AA-</t>
  </si>
  <si>
    <t>A1(cr)</t>
  </si>
  <si>
    <t>A1</t>
  </si>
  <si>
    <t>Santander Corporate &amp; Investment Banking</t>
  </si>
  <si>
    <t>A-</t>
  </si>
  <si>
    <t>A(dcr)</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</si>
  <si>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</si>
  <si>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</si>
  <si>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</si>
  <si>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</si>
  <si>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</si>
  <si>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</si>
  <si>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</si>
  <si>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</si>
  <si>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</si>
  <si>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</si>
  <si>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</si>
  <si>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</si>
  <si>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</si>
  <si>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</si>
  <si>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</si>
  <si>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</si>
  <si>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31.08.2025, data source: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</si>
</sst>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 #,##0.00\ &quot;€&quot;_-;\-* #,##0.00\ &quot;€&quot;_-;_-* &quot;-&quot;??\ &quot;€&quot;_-;_-@_-"/>
    <numFmt numFmtId="164" formatCode="_(* #,##0.00_);_(* \(#,##0.00\);_(* &quot;-&quot;??_);_(@_)"/>
    <numFmt numFmtId="165" formatCode="_(&quot;€&quot;* #,##0.00_);_(&quot;€&quot;* \(#,##0.00\);_(&quot;€&quot;*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0000000000000%"/>
    <numFmt numFmtId="173" formatCode="0.000%"/>
    <numFmt numFmtId="174" formatCode="mmm\ yyyy"/>
    <numFmt numFmtId="175" formatCode="[$-407]mmmm\ yy;@"/>
    <numFmt numFmtId="176" formatCode="#,##0\ &quot;€&quot;"/>
    <numFmt numFmtId="177" formatCode="#,##0_ ;\-#,##0\ "/>
    <numFmt numFmtId="178" formatCode="#,##0.00000\ &quot;€&quot;"/>
    <numFmt numFmtId="179" formatCode="General_)"/>
    <numFmt numFmtId="180" formatCode="#,##0.0\x_);\(#,##0.0\x\);#,##0.0\x_);@_)"/>
    <numFmt numFmtId="181" formatCode="#,##0.0\%_);\(#,##0.0\%\);#,##0.0\%_);@_)"/>
    <numFmt numFmtId="182" formatCode="_([$€]* #,##0.00_);_([$€]* \(#,##0.00\);_([$€]* &quot;-&quot;??_);_(@_)"/>
    <numFmt numFmtId="183" formatCode="_-&quot;€&quot;* #,##0.00_-;\-&quot;€&quot;* #,##0.00_-;_-&quot;€&quot;* &quot;-&quot;??_-;_-@_-"/>
    <numFmt numFmtId="184" formatCode="_-* #,##0.00\ [$€-407]_-;\-* #,##0.00\ [$€-407]_-;_-* &quot;-&quot;??\ [$€-407]_-;_-@_-"/>
    <numFmt numFmtId="185" formatCode="#,##0.00\ [$€-1]"/>
    <numFmt numFmtId="186" formatCode="_-* #,##0\ &quot;€&quot;_-;\-* #,##0\ &quot;€&quot;_-;_-* &quot;-&quot;??\ &quot;€&quot;_-;_-@_-"/>
    <numFmt numFmtId="187" formatCode="#,##0.00_ ;\-#,##0.00\ "/>
    <numFmt numFmtId="188" formatCode="[$-9]mmm\ yyyy"/>
    <numFmt numFmtId="189" formatCode="_(* #,##0_);_(* \(#,##0\);_(* &quot;-&quot;??_);_(@_)"/>
    <numFmt numFmtId="190" formatCode="#,##0.00000"/>
  </numFmts>
  <fonts count="87">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i/>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sz val="10"/>
      <name val="Frutiger 57Cn"/>
    </font>
    <font>
      <sz val="10"/>
      <name val="CompatilFact LT Regular"/>
    </font>
    <font>
      <b/>
      <sz val="14"/>
      <color rgb="FF000000"/>
      <name val="Arial"/>
      <family val="2"/>
    </font>
    <font>
      <sz val="14"/>
      <color rgb="FF000000"/>
      <name val="Arial"/>
      <family val="2"/>
    </font>
    <font>
      <u/>
      <sz val="10"/>
      <color rgb="FF0000FF"/>
      <name val="Arial"/>
      <family val="2"/>
    </font>
    <font>
      <sz val="11"/>
      <name val="Calibri"/>
      <family val="2"/>
    </font>
    <font>
      <b/>
      <i/>
      <sz val="10"/>
      <name val="Arial"/>
      <family val="2"/>
    </font>
    <font>
      <b/>
      <u/>
      <sz val="10"/>
      <color indexed="12"/>
      <name val="Arial"/>
      <family val="2"/>
    </font>
  </fonts>
  <fills count="30">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bottom style="double">
        <color indexed="64"/>
      </bottom>
      <diagonal/>
    </border>
    <border>
      <left/>
      <right/>
      <top/>
      <bottom style="thin">
        <color auto="1"/>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0">
    <xf numFmtId="0" fontId="0" fillId="0" borderId="0"/>
    <xf numFmtId="165" fontId="2" fillId="0" borderId="0" applyFont="0" applyFill="0" applyBorder="0" applyAlignment="0" applyProtection="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9" fontId="2" fillId="0" borderId="44" applyNumberFormat="0" applyFill="0" applyAlignment="0" applyProtection="0"/>
    <xf numFmtId="179" fontId="14" fillId="0" borderId="0" applyFont="0" applyFill="0" applyBorder="0" applyProtection="0">
      <alignment horizontal="right"/>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80"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1"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5" fontId="2" fillId="0" borderId="0" applyFont="0" applyFill="0" applyBorder="0" applyAlignment="0" applyProtection="0"/>
    <xf numFmtId="179"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5" applyNumberFormat="0" applyAlignment="0" applyProtection="0"/>
    <xf numFmtId="0" fontId="29" fillId="23" borderId="46" applyNumberFormat="0" applyAlignment="0" applyProtection="0"/>
    <xf numFmtId="0" fontId="30" fillId="10" borderId="46" applyNumberFormat="0" applyAlignment="0" applyProtection="0"/>
    <xf numFmtId="0" fontId="31" fillId="0" borderId="47" applyNumberFormat="0" applyFill="0" applyAlignment="0" applyProtection="0"/>
    <xf numFmtId="0" fontId="32" fillId="0" borderId="0" applyNumberForma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4" fillId="24" borderId="0" applyNumberFormat="0" applyBorder="0" applyAlignment="0" applyProtection="0"/>
    <xf numFmtId="0" fontId="2" fillId="25" borderId="4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42" fillId="0" borderId="0" applyNumberFormat="0" applyFill="0" applyBorder="0" applyAlignment="0" applyProtection="0"/>
    <xf numFmtId="0" fontId="43" fillId="26" borderId="53" applyNumberFormat="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2" fillId="0" borderId="0" applyFont="0" applyFill="0" applyBorder="0" applyAlignment="0" applyProtection="0"/>
  </cellStyleXfs>
  <cellXfs count="938">
    <xf numFmtId="0" fontId="0" fillId="0" borderId="0" xfId="0"/>
    <xf numFmtId="0" fontId="2" fillId="0" borderId="10" xfId="0" applyFont="1" applyBorder="1" applyAlignment="1">
      <alignment horizontal="center" vertical="center" wrapText="1"/>
    </xf>
    <xf numFmtId="0" fontId="2" fillId="0" borderId="10" xfId="23" applyBorder="1" applyAlignment="1">
      <alignment horizontal="center" vertical="center" wrapText="1"/>
    </xf>
    <xf numFmtId="0" fontId="2" fillId="2" borderId="10" xfId="23" applyFill="1" applyBorder="1" applyAlignment="1">
      <alignment horizontal="center" vertical="center" wrapText="1"/>
    </xf>
    <xf numFmtId="0" fontId="2" fillId="0" borderId="38" xfId="23" applyBorder="1" applyAlignment="1">
      <alignment horizontal="center" vertical="center"/>
    </xf>
    <xf numFmtId="0" fontId="2" fillId="0" borderId="0" xfId="23" applyAlignment="1">
      <alignment horizontal="center" vertical="center"/>
    </xf>
    <xf numFmtId="0" fontId="21" fillId="0" borderId="0" xfId="23" applyFont="1" applyAlignment="1">
      <alignment vertical="center"/>
    </xf>
    <xf numFmtId="0" fontId="22" fillId="0" borderId="0" xfId="23" applyFont="1" applyAlignment="1">
      <alignment vertical="center"/>
    </xf>
    <xf numFmtId="0" fontId="12" fillId="0" borderId="0" xfId="23" applyFont="1" applyAlignment="1">
      <alignment horizontal="left" vertical="center"/>
    </xf>
    <xf numFmtId="0" fontId="12" fillId="0" borderId="0" xfId="0" applyFont="1" applyAlignment="1">
      <alignment vertical="center"/>
    </xf>
    <xf numFmtId="4" fontId="6" fillId="0" borderId="7" xfId="9" applyNumberFormat="1" applyBorder="1" applyAlignment="1">
      <alignment horizontal="right" vertical="center" wrapText="1"/>
    </xf>
    <xf numFmtId="0" fontId="12" fillId="0" borderId="7" xfId="0" applyFont="1" applyBorder="1" applyAlignment="1">
      <alignment vertical="center"/>
    </xf>
    <xf numFmtId="4" fontId="6" fillId="0" borderId="0" xfId="9" applyNumberFormat="1" applyAlignment="1">
      <alignment horizontal="right" vertical="center" wrapText="1"/>
    </xf>
    <xf numFmtId="0" fontId="6" fillId="0" borderId="0" xfId="9" applyAlignment="1">
      <alignment horizontal="right" vertical="center" wrapText="1"/>
    </xf>
    <xf numFmtId="1" fontId="13" fillId="0" borderId="0" xfId="0" applyNumberFormat="1" applyFont="1" applyAlignment="1">
      <alignment vertical="center"/>
    </xf>
    <xf numFmtId="0" fontId="2" fillId="0" borderId="16" xfId="0" applyFont="1" applyBorder="1" applyAlignment="1">
      <alignment vertical="center"/>
    </xf>
    <xf numFmtId="1" fontId="13" fillId="0" borderId="0" xfId="0" applyNumberFormat="1" applyFont="1" applyAlignment="1">
      <alignment vertical="center" wrapText="1"/>
    </xf>
    <xf numFmtId="0" fontId="13" fillId="0" borderId="0" xfId="0" applyFont="1" applyAlignment="1">
      <alignment vertical="center"/>
    </xf>
    <xf numFmtId="0" fontId="2" fillId="0" borderId="0" xfId="0" applyFont="1" applyAlignment="1">
      <alignment vertical="center"/>
    </xf>
    <xf numFmtId="0" fontId="12" fillId="0" borderId="39" xfId="0" applyFont="1" applyBorder="1" applyAlignment="1">
      <alignment vertical="center"/>
    </xf>
    <xf numFmtId="1" fontId="7" fillId="0" borderId="0" xfId="23" applyNumberFormat="1" applyFont="1" applyAlignment="1">
      <alignment vertical="center"/>
    </xf>
    <xf numFmtId="0" fontId="7" fillId="0" borderId="0" xfId="23" applyFont="1" applyAlignment="1">
      <alignment vertical="center"/>
    </xf>
    <xf numFmtId="0" fontId="2" fillId="0" borderId="0" xfId="23"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3" applyFont="1" applyAlignment="1">
      <alignment vertical="center"/>
    </xf>
    <xf numFmtId="0" fontId="6" fillId="0" borderId="7" xfId="9" applyBorder="1" applyAlignment="1">
      <alignment horizontal="right" vertical="center" wrapText="1"/>
    </xf>
    <xf numFmtId="0" fontId="25" fillId="0" borderId="0" xfId="23" applyFont="1" applyAlignment="1">
      <alignment vertical="center"/>
    </xf>
    <xf numFmtId="0" fontId="44" fillId="0" borderId="7" xfId="23" applyFont="1" applyBorder="1" applyAlignment="1">
      <alignment vertical="center"/>
    </xf>
    <xf numFmtId="0" fontId="44" fillId="0" borderId="38" xfId="23" applyFont="1" applyBorder="1" applyAlignment="1">
      <alignment vertical="center"/>
    </xf>
    <xf numFmtId="0" fontId="44" fillId="0" borderId="0" xfId="23" applyFont="1" applyAlignment="1">
      <alignment vertical="center"/>
    </xf>
    <xf numFmtId="1" fontId="7" fillId="0" borderId="0" xfId="23" applyNumberFormat="1" applyFont="1" applyAlignment="1">
      <alignment vertical="center" wrapText="1"/>
    </xf>
    <xf numFmtId="0" fontId="7" fillId="0" borderId="0" xfId="0" applyFont="1" applyAlignment="1">
      <alignment vertical="center"/>
    </xf>
    <xf numFmtId="0" fontId="2" fillId="0" borderId="38" xfId="23" applyBorder="1" applyAlignment="1">
      <alignment vertical="center"/>
    </xf>
    <xf numFmtId="0" fontId="2" fillId="0" borderId="39" xfId="23" applyBorder="1" applyAlignment="1">
      <alignment vertical="center"/>
    </xf>
    <xf numFmtId="0" fontId="2" fillId="0" borderId="7" xfId="23" applyBorder="1" applyAlignment="1">
      <alignment vertical="center"/>
    </xf>
    <xf numFmtId="0" fontId="2" fillId="0" borderId="39" xfId="23" applyBorder="1" applyAlignment="1">
      <alignment horizontal="center" vertical="center"/>
    </xf>
    <xf numFmtId="0" fontId="12" fillId="0" borderId="7" xfId="23" applyFont="1" applyBorder="1" applyAlignment="1">
      <alignment vertical="center"/>
    </xf>
    <xf numFmtId="0" fontId="2" fillId="0" borderId="0" xfId="23" applyAlignment="1">
      <alignment horizontal="left" vertical="center"/>
    </xf>
    <xf numFmtId="49" fontId="23" fillId="0" borderId="0" xfId="9" applyNumberFormat="1" applyFont="1" applyAlignment="1">
      <alignment vertical="center" wrapText="1"/>
    </xf>
    <xf numFmtId="0" fontId="6" fillId="0" borderId="0" xfId="9" applyAlignment="1">
      <alignment horizontal="left" vertical="center" wrapText="1"/>
    </xf>
    <xf numFmtId="3" fontId="3" fillId="0" borderId="0" xfId="0" applyNumberFormat="1" applyFont="1" applyAlignment="1">
      <alignment vertical="center"/>
    </xf>
    <xf numFmtId="0" fontId="9" fillId="0" borderId="0" xfId="0" applyFont="1" applyAlignment="1">
      <alignment vertical="center"/>
    </xf>
    <xf numFmtId="0" fontId="9" fillId="0" borderId="0" xfId="0" applyFont="1" applyAlignment="1">
      <alignment horizontal="right" vertical="center"/>
    </xf>
    <xf numFmtId="0" fontId="2" fillId="0" borderId="2" xfId="0" applyFont="1" applyBorder="1" applyAlignment="1">
      <alignment vertical="center"/>
    </xf>
    <xf numFmtId="0" fontId="10" fillId="0" borderId="2" xfId="0" applyFont="1" applyBorder="1" applyAlignment="1">
      <alignment horizontal="right" vertical="center"/>
    </xf>
    <xf numFmtId="0" fontId="11" fillId="0" borderId="2" xfId="0" applyFont="1" applyBorder="1" applyAlignment="1">
      <alignment horizontal="right" vertical="center"/>
    </xf>
    <xf numFmtId="184" fontId="2" fillId="0" borderId="0" xfId="0" applyNumberFormat="1" applyFont="1" applyAlignment="1">
      <alignment horizontal="right" vertical="center"/>
    </xf>
    <xf numFmtId="184" fontId="10" fillId="0" borderId="0" xfId="0" applyNumberFormat="1" applyFont="1" applyAlignment="1">
      <alignment horizontal="right" vertical="center"/>
    </xf>
    <xf numFmtId="184" fontId="11" fillId="0" borderId="0" xfId="0" applyNumberFormat="1" applyFont="1" applyAlignment="1">
      <alignment horizontal="right" vertical="center"/>
    </xf>
    <xf numFmtId="184" fontId="2" fillId="0" borderId="0" xfId="0" applyNumberFormat="1" applyFont="1" applyAlignment="1">
      <alignment vertical="center"/>
    </xf>
    <xf numFmtId="0" fontId="2" fillId="0" borderId="7" xfId="0" applyFont="1" applyBorder="1" applyAlignment="1">
      <alignment vertical="center"/>
    </xf>
    <xf numFmtId="184" fontId="2" fillId="0" borderId="7" xfId="0" applyNumberFormat="1" applyFont="1" applyBorder="1" applyAlignment="1">
      <alignment horizontal="right" vertical="center"/>
    </xf>
    <xf numFmtId="184" fontId="10" fillId="0" borderId="7" xfId="0" applyNumberFormat="1" applyFont="1" applyBorder="1" applyAlignment="1">
      <alignment horizontal="right" vertical="center"/>
    </xf>
    <xf numFmtId="184" fontId="2" fillId="0" borderId="7" xfId="0" applyNumberFormat="1" applyFont="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6" xfId="0" applyNumberFormat="1" applyFont="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1" xfId="0" applyNumberFormat="1" applyFont="1" applyBorder="1" applyAlignment="1">
      <alignment horizontal="right" vertical="center"/>
    </xf>
    <xf numFmtId="3" fontId="8" fillId="0" borderId="0" xfId="0" applyNumberFormat="1" applyFont="1" applyAlignment="1">
      <alignment vertical="center"/>
    </xf>
    <xf numFmtId="0" fontId="45" fillId="0" borderId="0" xfId="23" applyFont="1" applyAlignment="1">
      <alignment vertical="center"/>
    </xf>
    <xf numFmtId="0" fontId="46" fillId="0" borderId="0" xfId="23" applyFont="1" applyAlignment="1">
      <alignment vertical="center"/>
    </xf>
    <xf numFmtId="0" fontId="45" fillId="0" borderId="0" xfId="0" applyFont="1" applyAlignment="1">
      <alignment vertical="center"/>
    </xf>
    <xf numFmtId="0" fontId="47" fillId="0" borderId="0" xfId="23" applyFont="1" applyAlignment="1">
      <alignment vertical="center"/>
    </xf>
    <xf numFmtId="0" fontId="48" fillId="0" borderId="0" xfId="23" applyFont="1" applyAlignment="1">
      <alignment vertical="center"/>
    </xf>
    <xf numFmtId="0" fontId="49" fillId="0" borderId="0" xfId="23" applyFont="1" applyAlignment="1">
      <alignment vertical="center"/>
    </xf>
    <xf numFmtId="0" fontId="48" fillId="0" borderId="0" xfId="0" applyFont="1" applyAlignment="1">
      <alignment vertical="center"/>
    </xf>
    <xf numFmtId="0" fontId="47" fillId="0" borderId="0" xfId="0" applyFont="1" applyAlignment="1">
      <alignment vertical="center"/>
    </xf>
    <xf numFmtId="49" fontId="48" fillId="0" borderId="0" xfId="9" applyNumberFormat="1" applyFont="1" applyAlignment="1">
      <alignment horizontal="left" vertical="center" wrapText="1"/>
    </xf>
    <xf numFmtId="0" fontId="50" fillId="0" borderId="0" xfId="0" applyFont="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Alignment="1">
      <alignment horizontal="right" vertical="center" wrapText="1"/>
    </xf>
    <xf numFmtId="0" fontId="2" fillId="0" borderId="0" xfId="9" applyFont="1" applyAlignment="1">
      <alignment horizontal="right" vertical="center" wrapText="1"/>
    </xf>
    <xf numFmtId="0" fontId="2" fillId="0" borderId="27" xfId="23" applyBorder="1" applyAlignment="1">
      <alignment horizontal="center" vertical="center" wrapText="1"/>
    </xf>
    <xf numFmtId="0" fontId="6" fillId="0" borderId="59" xfId="9" applyBorder="1" applyAlignment="1">
      <alignment horizontal="right" vertical="center" wrapText="1"/>
    </xf>
    <xf numFmtId="0" fontId="7" fillId="2" borderId="34" xfId="23" applyFont="1" applyFill="1" applyBorder="1" applyAlignment="1">
      <alignment horizontal="center" vertical="center"/>
    </xf>
    <xf numFmtId="0" fontId="7" fillId="0" borderId="0" xfId="23" applyFont="1" applyAlignment="1">
      <alignment horizontal="center" vertical="center"/>
    </xf>
    <xf numFmtId="4" fontId="2" fillId="0" borderId="0" xfId="9" applyNumberFormat="1" applyFont="1" applyAlignment="1">
      <alignment horizontal="left" vertical="center"/>
    </xf>
    <xf numFmtId="4" fontId="2" fillId="0" borderId="0" xfId="9" applyNumberFormat="1" applyFont="1" applyAlignment="1">
      <alignment horizontal="right" vertical="center"/>
    </xf>
    <xf numFmtId="0" fontId="2" fillId="0" borderId="0" xfId="0" applyFont="1" applyAlignment="1">
      <alignment horizontal="center" vertical="center"/>
    </xf>
    <xf numFmtId="0" fontId="6" fillId="0" borderId="2" xfId="9" applyBorder="1" applyAlignment="1">
      <alignment horizontal="right" vertical="center" wrapText="1"/>
    </xf>
    <xf numFmtId="4" fontId="6" fillId="0" borderId="2" xfId="9" applyNumberFormat="1" applyBorder="1" applyAlignment="1">
      <alignment horizontal="righ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6" fillId="0" borderId="0" xfId="9" applyAlignment="1">
      <alignment horizontal="center" vertical="center" wrapText="1"/>
    </xf>
    <xf numFmtId="4" fontId="6" fillId="0" borderId="0" xfId="9" applyNumberFormat="1" applyAlignment="1">
      <alignment horizontal="center" vertical="center" wrapText="1"/>
    </xf>
    <xf numFmtId="0" fontId="2" fillId="0" borderId="38" xfId="9" applyFont="1" applyBorder="1" applyAlignment="1">
      <alignment horizontal="right" vertical="center" wrapText="1"/>
    </xf>
    <xf numFmtId="0" fontId="2" fillId="0" borderId="10" xfId="23" applyBorder="1" applyAlignment="1">
      <alignment horizontal="center" vertical="center"/>
    </xf>
    <xf numFmtId="0" fontId="9" fillId="0" borderId="7" xfId="0" applyFont="1" applyBorder="1" applyAlignment="1">
      <alignment horizontal="right" vertical="center"/>
    </xf>
    <xf numFmtId="0" fontId="7" fillId="0" borderId="0" xfId="0" applyFont="1"/>
    <xf numFmtId="0" fontId="44" fillId="0" borderId="3" xfId="23" applyFont="1" applyBorder="1" applyAlignment="1">
      <alignment vertical="center"/>
    </xf>
    <xf numFmtId="0" fontId="2" fillId="0" borderId="5" xfId="23" applyBorder="1" applyAlignment="1">
      <alignment horizontal="center" vertical="center"/>
    </xf>
    <xf numFmtId="0" fontId="2" fillId="0" borderId="5" xfId="23" applyBorder="1" applyAlignment="1">
      <alignment vertical="center"/>
    </xf>
    <xf numFmtId="0" fontId="2" fillId="0" borderId="8" xfId="23" applyBorder="1" applyAlignment="1">
      <alignment vertical="center"/>
    </xf>
    <xf numFmtId="0" fontId="44" fillId="0" borderId="16" xfId="23" applyFont="1" applyBorder="1" applyAlignment="1">
      <alignment vertical="center"/>
    </xf>
    <xf numFmtId="4" fontId="6" fillId="0" borderId="7" xfId="9" applyNumberFormat="1" applyBorder="1" applyAlignment="1">
      <alignment horizontal="left" vertical="center" wrapText="1"/>
    </xf>
    <xf numFmtId="0" fontId="2" fillId="0" borderId="0" xfId="2" applyFont="1" applyFill="1" applyBorder="1" applyAlignment="1" applyProtection="1">
      <alignment horizontal="left" vertical="center"/>
    </xf>
    <xf numFmtId="0" fontId="2" fillId="0" borderId="0" xfId="0" applyFont="1" applyAlignment="1">
      <alignment horizontal="right" vertical="center"/>
    </xf>
    <xf numFmtId="184" fontId="7" fillId="0" borderId="0" xfId="49" applyNumberFormat="1" applyFont="1" applyAlignment="1">
      <alignment horizontal="center" vertical="center"/>
    </xf>
    <xf numFmtId="0" fontId="2" fillId="0" borderId="0" xfId="9" applyFont="1" applyAlignment="1">
      <alignment vertical="center" wrapText="1"/>
    </xf>
    <xf numFmtId="0" fontId="2" fillId="0" borderId="18" xfId="0" applyFont="1" applyBorder="1" applyAlignment="1">
      <alignment horizontal="center" vertical="center"/>
    </xf>
    <xf numFmtId="1" fontId="2" fillId="0" borderId="9" xfId="12" applyNumberFormat="1" applyFont="1" applyBorder="1" applyAlignment="1">
      <alignment horizontal="center" vertical="center" wrapText="1"/>
    </xf>
    <xf numFmtId="46" fontId="2" fillId="0" borderId="9" xfId="13" applyNumberFormat="1" applyFont="1" applyBorder="1" applyAlignment="1">
      <alignment horizontal="center" vertical="center" wrapText="1"/>
    </xf>
    <xf numFmtId="0" fontId="2" fillId="0" borderId="9" xfId="16" applyFont="1" applyBorder="1" applyAlignment="1">
      <alignment horizontal="center" vertical="center" wrapText="1"/>
    </xf>
    <xf numFmtId="0" fontId="2" fillId="0" borderId="18" xfId="11" applyFont="1" applyBorder="1" applyAlignment="1">
      <alignment vertical="center" wrapText="1"/>
    </xf>
    <xf numFmtId="0" fontId="2" fillId="0" borderId="9" xfId="9" applyFont="1" applyBorder="1" applyAlignment="1">
      <alignment horizontal="center" vertical="center" wrapText="1"/>
    </xf>
    <xf numFmtId="167" fontId="2" fillId="0" borderId="0" xfId="23" applyNumberFormat="1" applyAlignment="1">
      <alignment horizontal="center" vertical="center"/>
    </xf>
    <xf numFmtId="0" fontId="2" fillId="0" borderId="0" xfId="23" applyAlignment="1">
      <alignment horizontal="right" vertical="center"/>
    </xf>
    <xf numFmtId="184" fontId="2" fillId="0" borderId="0" xfId="1" applyNumberFormat="1" applyFont="1" applyBorder="1" applyAlignment="1">
      <alignment vertical="center"/>
    </xf>
    <xf numFmtId="165" fontId="2" fillId="0" borderId="0" xfId="0" applyNumberFormat="1"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4" fillId="0" borderId="0" xfId="0" applyFont="1" applyAlignment="1">
      <alignment vertical="center"/>
    </xf>
    <xf numFmtId="0" fontId="2" fillId="2" borderId="4" xfId="0" applyFont="1" applyFill="1" applyBorder="1" applyAlignment="1">
      <alignment horizontal="right" vertical="center"/>
    </xf>
    <xf numFmtId="0" fontId="2" fillId="2" borderId="0" xfId="0" applyFont="1" applyFill="1" applyAlignment="1">
      <alignment vertical="center"/>
    </xf>
    <xf numFmtId="14" fontId="2" fillId="2" borderId="0" xfId="0" applyNumberFormat="1" applyFont="1" applyFill="1" applyAlignment="1">
      <alignment horizontal="center" vertical="center"/>
    </xf>
    <xf numFmtId="0" fontId="2" fillId="2" borderId="5" xfId="0" applyFont="1" applyFill="1" applyBorder="1" applyAlignment="1">
      <alignment vertical="center"/>
    </xf>
    <xf numFmtId="0" fontId="54" fillId="0" borderId="0" xfId="0" applyFont="1" applyAlignment="1">
      <alignment horizontal="right" vertical="center"/>
    </xf>
    <xf numFmtId="1" fontId="2" fillId="2" borderId="0" xfId="0" applyNumberFormat="1" applyFont="1" applyFill="1" applyAlignment="1">
      <alignment horizontal="center" vertical="center"/>
    </xf>
    <xf numFmtId="0" fontId="2" fillId="2" borderId="0" xfId="0" applyFont="1" applyFill="1" applyAlignment="1">
      <alignment horizontal="right" vertical="center"/>
    </xf>
    <xf numFmtId="0" fontId="2" fillId="2" borderId="5" xfId="0" applyFont="1" applyFill="1" applyBorder="1" applyAlignment="1">
      <alignment horizontal="center" vertical="center"/>
    </xf>
    <xf numFmtId="0" fontId="11" fillId="0" borderId="0" xfId="0" quotePrefix="1" applyFont="1" applyAlignment="1">
      <alignment vertical="center"/>
    </xf>
    <xf numFmtId="188" fontId="2" fillId="2" borderId="0" xfId="0" applyNumberFormat="1" applyFont="1" applyFill="1" applyAlignment="1">
      <alignment horizontal="center" vertical="center"/>
    </xf>
    <xf numFmtId="0" fontId="55" fillId="0" borderId="0" xfId="0" quotePrefix="1" applyFont="1" applyAlignment="1">
      <alignment vertical="center"/>
    </xf>
    <xf numFmtId="0" fontId="2" fillId="2" borderId="0" xfId="0" applyFont="1" applyFill="1" applyAlignment="1">
      <alignment horizontal="center" vertical="center"/>
    </xf>
    <xf numFmtId="164"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0" fontId="2" fillId="0" borderId="0" xfId="0" applyNumberFormat="1"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10" fontId="2" fillId="0" borderId="0" xfId="17" applyNumberFormat="1" applyFont="1" applyFill="1" applyBorder="1" applyAlignment="1">
      <alignment horizontal="center" vertical="center"/>
    </xf>
    <xf numFmtId="165" fontId="2" fillId="0" borderId="0" xfId="1" applyFont="1" applyBorder="1" applyAlignment="1">
      <alignment vertical="center"/>
    </xf>
    <xf numFmtId="3" fontId="4" fillId="0" borderId="0" xfId="2" applyNumberFormat="1" applyBorder="1" applyAlignment="1" applyProtection="1">
      <alignment horizontal="center" vertical="center"/>
    </xf>
    <xf numFmtId="16" fontId="2" fillId="0" borderId="0" xfId="0" applyNumberFormat="1" applyFont="1" applyAlignment="1">
      <alignment vertical="center"/>
    </xf>
    <xf numFmtId="0" fontId="2" fillId="0" borderId="0" xfId="0" quotePrefix="1" applyFont="1" applyAlignment="1">
      <alignment vertical="center"/>
    </xf>
    <xf numFmtId="0" fontId="2" fillId="0" borderId="6" xfId="0" applyFont="1" applyBorder="1" applyAlignment="1">
      <alignment vertical="center"/>
    </xf>
    <xf numFmtId="0" fontId="56" fillId="0" borderId="7" xfId="0" applyFont="1" applyBorder="1" applyAlignment="1">
      <alignment vertical="center"/>
    </xf>
    <xf numFmtId="0" fontId="2" fillId="0" borderId="8" xfId="0" applyFont="1" applyBorder="1" applyAlignment="1">
      <alignment vertical="center"/>
    </xf>
    <xf numFmtId="0" fontId="56" fillId="0" borderId="0" xfId="0" applyFont="1" applyAlignment="1">
      <alignment vertical="center"/>
    </xf>
    <xf numFmtId="10" fontId="2" fillId="0" borderId="0" xfId="17" applyNumberFormat="1" applyFont="1" applyFill="1" applyAlignment="1">
      <alignment vertical="center"/>
    </xf>
    <xf numFmtId="14" fontId="2" fillId="2" borderId="2" xfId="0" applyNumberFormat="1" applyFont="1" applyFill="1" applyBorder="1" applyAlignment="1">
      <alignment vertical="center"/>
    </xf>
    <xf numFmtId="14" fontId="2" fillId="2" borderId="0" xfId="0" applyNumberFormat="1" applyFont="1" applyFill="1" applyAlignment="1">
      <alignment vertical="center"/>
    </xf>
    <xf numFmtId="1" fontId="2" fillId="2" borderId="0" xfId="0" applyNumberFormat="1" applyFont="1" applyFill="1" applyAlignment="1">
      <alignment vertical="center"/>
    </xf>
    <xf numFmtId="174" fontId="2" fillId="2" borderId="0" xfId="0" applyNumberFormat="1" applyFont="1" applyFill="1" applyAlignment="1">
      <alignment horizontal="center" vertical="center"/>
    </xf>
    <xf numFmtId="164" fontId="2" fillId="2" borderId="5" xfId="0" applyNumberFormat="1" applyFont="1" applyFill="1" applyBorder="1" applyAlignment="1">
      <alignment horizontal="center" vertical="center"/>
    </xf>
    <xf numFmtId="0" fontId="11" fillId="0" borderId="5" xfId="0" applyFont="1" applyBorder="1" applyAlignment="1">
      <alignment vertical="center"/>
    </xf>
    <xf numFmtId="0" fontId="7" fillId="2" borderId="7" xfId="0"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Alignment="1">
      <alignment horizontal="center" vertical="center"/>
    </xf>
    <xf numFmtId="0" fontId="7" fillId="0" borderId="5" xfId="0" applyFont="1" applyBorder="1" applyAlignment="1">
      <alignment vertical="center"/>
    </xf>
    <xf numFmtId="0" fontId="57" fillId="0" borderId="0" xfId="0" applyFont="1" applyAlignment="1">
      <alignment vertical="center"/>
    </xf>
    <xf numFmtId="165" fontId="2" fillId="0" borderId="5" xfId="0" applyNumberFormat="1" applyFont="1" applyBorder="1" applyAlignment="1">
      <alignment vertical="center"/>
    </xf>
    <xf numFmtId="0" fontId="6" fillId="0" borderId="0" xfId="18" applyFont="1" applyAlignment="1">
      <alignment horizontal="center" vertical="center" wrapText="1"/>
    </xf>
    <xf numFmtId="0" fontId="6" fillId="0" borderId="0" xfId="20" applyFont="1" applyAlignment="1">
      <alignment horizontal="center" vertical="center" wrapText="1"/>
    </xf>
    <xf numFmtId="0" fontId="58" fillId="0" borderId="0" xfId="20" applyFont="1" applyAlignment="1">
      <alignment horizontal="left" vertical="center" wrapText="1"/>
    </xf>
    <xf numFmtId="0" fontId="58" fillId="0" borderId="0" xfId="22" applyFont="1" applyAlignment="1">
      <alignment horizontal="right" vertical="center" wrapText="1"/>
    </xf>
    <xf numFmtId="0" fontId="47" fillId="0" borderId="0" xfId="20" applyFont="1" applyAlignment="1">
      <alignment horizontal="center" vertical="center" wrapText="1"/>
    </xf>
    <xf numFmtId="0" fontId="47" fillId="0" borderId="5" xfId="0" applyFont="1" applyBorder="1" applyAlignment="1">
      <alignment vertical="center"/>
    </xf>
    <xf numFmtId="0" fontId="47" fillId="0" borderId="0" xfId="18" applyFont="1" applyAlignment="1">
      <alignment horizontal="center" vertical="center" wrapText="1"/>
    </xf>
    <xf numFmtId="10" fontId="47" fillId="0" borderId="0" xfId="10" applyNumberFormat="1" applyFont="1" applyAlignment="1">
      <alignment horizontal="right" vertical="center" wrapText="1"/>
    </xf>
    <xf numFmtId="10" fontId="47" fillId="0" borderId="0" xfId="10" applyNumberFormat="1" applyFont="1" applyAlignment="1">
      <alignment horizontal="left" vertical="center" wrapText="1"/>
    </xf>
    <xf numFmtId="3" fontId="47" fillId="0" borderId="0" xfId="10" applyNumberFormat="1" applyFont="1" applyAlignment="1">
      <alignment horizontal="left" vertical="center" wrapText="1"/>
    </xf>
    <xf numFmtId="49" fontId="47" fillId="0" borderId="0" xfId="9" applyNumberFormat="1" applyFont="1" applyAlignment="1">
      <alignment horizontal="left" vertical="center" wrapText="1"/>
    </xf>
    <xf numFmtId="165" fontId="47" fillId="0" borderId="5" xfId="0" applyNumberFormat="1" applyFont="1" applyBorder="1" applyAlignment="1">
      <alignment vertical="center"/>
    </xf>
    <xf numFmtId="49" fontId="2" fillId="0" borderId="0" xfId="9" applyNumberFormat="1" applyFont="1" applyAlignment="1">
      <alignment horizontal="left" vertical="center" wrapText="1"/>
    </xf>
    <xf numFmtId="3" fontId="47" fillId="0" borderId="0" xfId="9" applyNumberFormat="1" applyFont="1" applyAlignment="1">
      <alignment horizontal="right" vertical="center" wrapText="1"/>
    </xf>
    <xf numFmtId="49" fontId="22" fillId="0" borderId="0" xfId="9" applyNumberFormat="1" applyFont="1" applyAlignment="1">
      <alignment horizontal="left" vertical="center" wrapText="1"/>
    </xf>
    <xf numFmtId="49" fontId="6" fillId="0" borderId="0" xfId="9" applyNumberFormat="1" applyAlignment="1">
      <alignment horizontal="left" vertical="center" wrapText="1"/>
    </xf>
    <xf numFmtId="49" fontId="6" fillId="0" borderId="5" xfId="9" applyNumberFormat="1" applyBorder="1" applyAlignment="1">
      <alignment horizontal="left" vertical="center" wrapText="1"/>
    </xf>
    <xf numFmtId="0" fontId="6" fillId="0" borderId="0" xfId="9" applyAlignment="1">
      <alignment vertical="center" wrapText="1"/>
    </xf>
    <xf numFmtId="10" fontId="6" fillId="0" borderId="0" xfId="9" applyNumberFormat="1" applyAlignment="1">
      <alignment horizontal="right" vertical="center" wrapText="1"/>
    </xf>
    <xf numFmtId="3" fontId="6" fillId="0" borderId="0" xfId="9" applyNumberFormat="1" applyAlignment="1">
      <alignment horizontal="right" vertical="center" wrapText="1"/>
    </xf>
    <xf numFmtId="0" fontId="6" fillId="0" borderId="0" xfId="0" applyFont="1" applyAlignment="1">
      <alignment vertical="center"/>
    </xf>
    <xf numFmtId="4" fontId="6" fillId="0" borderId="0" xfId="0" applyNumberFormat="1" applyFont="1" applyAlignment="1">
      <alignment vertical="center"/>
    </xf>
    <xf numFmtId="10" fontId="6" fillId="0" borderId="0" xfId="28" applyNumberFormat="1" applyFont="1" applyFill="1" applyBorder="1" applyAlignment="1">
      <alignment vertical="center"/>
    </xf>
    <xf numFmtId="3" fontId="6" fillId="0" borderId="0" xfId="0" applyNumberFormat="1" applyFont="1" applyAlignment="1">
      <alignment vertical="center"/>
    </xf>
    <xf numFmtId="0" fontId="6" fillId="0" borderId="0" xfId="8" applyFont="1" applyAlignment="1">
      <alignment horizontal="left" vertical="center"/>
    </xf>
    <xf numFmtId="164" fontId="6" fillId="0" borderId="0" xfId="26" applyFont="1" applyFill="1" applyBorder="1" applyAlignment="1">
      <alignment horizontal="right" vertical="center" wrapText="1"/>
    </xf>
    <xf numFmtId="0" fontId="59" fillId="0" borderId="0" xfId="0" applyFont="1" applyAlignment="1">
      <alignment vertical="center"/>
    </xf>
    <xf numFmtId="0" fontId="60" fillId="0" borderId="0" xfId="8" applyFont="1" applyAlignment="1">
      <alignment horizontal="left" vertical="center"/>
    </xf>
    <xf numFmtId="164" fontId="60" fillId="0" borderId="0" xfId="26" applyFont="1" applyFill="1" applyBorder="1" applyAlignment="1">
      <alignment horizontal="right" vertical="center" wrapText="1"/>
    </xf>
    <xf numFmtId="4" fontId="59" fillId="0" borderId="0" xfId="0" applyNumberFormat="1" applyFont="1" applyAlignment="1">
      <alignment vertical="center"/>
    </xf>
    <xf numFmtId="4" fontId="2" fillId="0" borderId="0" xfId="0" applyNumberFormat="1" applyFont="1" applyAlignment="1">
      <alignment vertical="center"/>
    </xf>
    <xf numFmtId="1" fontId="9" fillId="0" borderId="0" xfId="0" applyNumberFormat="1" applyFont="1" applyAlignment="1">
      <alignment vertical="center"/>
    </xf>
    <xf numFmtId="0" fontId="6" fillId="0" borderId="0" xfId="21" applyFont="1" applyAlignment="1">
      <alignment horizontal="center" vertical="center" wrapText="1"/>
    </xf>
    <xf numFmtId="49" fontId="6" fillId="0" borderId="0" xfId="20" applyNumberFormat="1" applyFont="1" applyAlignment="1">
      <alignment horizontal="center" vertical="center" wrapText="1"/>
    </xf>
    <xf numFmtId="0" fontId="61" fillId="0" borderId="0" xfId="22" applyFont="1" applyAlignment="1">
      <alignment horizontal="left" vertical="center" wrapText="1"/>
    </xf>
    <xf numFmtId="0" fontId="61" fillId="0" borderId="0" xfId="18" applyFont="1" applyAlignment="1">
      <alignment horizontal="right" vertical="center" wrapText="1"/>
    </xf>
    <xf numFmtId="0" fontId="61" fillId="0" borderId="0" xfId="20" applyFont="1" applyAlignment="1">
      <alignment horizontal="left" vertical="center" wrapText="1"/>
    </xf>
    <xf numFmtId="0" fontId="61" fillId="0" borderId="0" xfId="22" applyFont="1" applyAlignment="1">
      <alignment horizontal="right" vertical="center" wrapText="1"/>
    </xf>
    <xf numFmtId="0" fontId="4" fillId="0" borderId="0" xfId="2" applyFill="1" applyBorder="1" applyAlignment="1" applyProtection="1">
      <alignment horizontal="left" vertical="center"/>
    </xf>
    <xf numFmtId="10" fontId="6" fillId="0" borderId="0" xfId="10" applyNumberFormat="1" applyAlignment="1">
      <alignment horizontal="right" vertical="center" wrapText="1"/>
    </xf>
    <xf numFmtId="49" fontId="2" fillId="0" borderId="0" xfId="0" applyNumberFormat="1" applyFont="1" applyAlignment="1">
      <alignment vertical="center"/>
    </xf>
    <xf numFmtId="0" fontId="4" fillId="0" borderId="0" xfId="2" applyFill="1" applyAlignment="1" applyProtection="1">
      <alignment vertical="center"/>
    </xf>
    <xf numFmtId="10" fontId="6" fillId="0" borderId="0" xfId="10" applyNumberFormat="1" applyAlignment="1">
      <alignment horizontal="left" vertical="center" wrapText="1"/>
    </xf>
    <xf numFmtId="3" fontId="6" fillId="0" borderId="0" xfId="10" applyNumberFormat="1" applyAlignment="1">
      <alignment horizontal="left" vertical="center" wrapText="1"/>
    </xf>
    <xf numFmtId="10" fontId="2" fillId="0" borderId="0" xfId="17" applyNumberFormat="1" applyFont="1" applyFill="1" applyBorder="1" applyAlignment="1">
      <alignment vertical="center"/>
    </xf>
    <xf numFmtId="49" fontId="6" fillId="0" borderId="0" xfId="9" applyNumberFormat="1" applyAlignment="1">
      <alignment horizontal="right" vertical="center" wrapText="1"/>
    </xf>
    <xf numFmtId="0" fontId="4" fillId="0" borderId="0" xfId="2" applyFill="1" applyBorder="1" applyAlignment="1" applyProtection="1">
      <alignment horizontal="center" vertical="center"/>
    </xf>
    <xf numFmtId="10" fontId="7" fillId="0" borderId="0" xfId="17" applyNumberFormat="1" applyFont="1" applyBorder="1" applyAlignment="1">
      <alignment vertical="center"/>
    </xf>
    <xf numFmtId="0" fontId="6" fillId="0" borderId="0" xfId="20" applyFont="1" applyAlignment="1">
      <alignment vertical="center" wrapText="1"/>
    </xf>
    <xf numFmtId="0" fontId="2" fillId="0" borderId="0" xfId="0" applyFont="1" applyAlignment="1">
      <alignment horizontal="center" vertical="center" wrapText="1"/>
    </xf>
    <xf numFmtId="0" fontId="7" fillId="0" borderId="0" xfId="0" applyFont="1" applyAlignment="1">
      <alignment horizontal="left" vertical="center"/>
    </xf>
    <xf numFmtId="0" fontId="8" fillId="0" borderId="0" xfId="0" applyFont="1" applyAlignment="1">
      <alignment vertical="center"/>
    </xf>
    <xf numFmtId="10" fontId="6" fillId="0" borderId="0" xfId="17" applyNumberFormat="1" applyFont="1" applyFill="1" applyBorder="1" applyAlignment="1">
      <alignment vertical="center"/>
    </xf>
    <xf numFmtId="164" fontId="6" fillId="0" borderId="0" xfId="3" applyFont="1" applyFill="1" applyBorder="1" applyAlignment="1">
      <alignment horizontal="right" vertical="center" wrapText="1"/>
    </xf>
    <xf numFmtId="164" fontId="60" fillId="0" borderId="0" xfId="3" applyFont="1" applyFill="1" applyBorder="1" applyAlignment="1">
      <alignment horizontal="right" vertical="center" wrapText="1"/>
    </xf>
    <xf numFmtId="0" fontId="2" fillId="0" borderId="1" xfId="23" applyBorder="1" applyAlignment="1">
      <alignment vertical="center"/>
    </xf>
    <xf numFmtId="0" fontId="2" fillId="0" borderId="2" xfId="23" applyBorder="1" applyAlignment="1">
      <alignment vertical="center"/>
    </xf>
    <xf numFmtId="0" fontId="2" fillId="0" borderId="3" xfId="23" applyBorder="1" applyAlignment="1">
      <alignment vertical="center"/>
    </xf>
    <xf numFmtId="0" fontId="2" fillId="0" borderId="4" xfId="23" applyBorder="1" applyAlignment="1">
      <alignment vertical="center"/>
    </xf>
    <xf numFmtId="0" fontId="9" fillId="0" borderId="0" xfId="23" applyFont="1" applyAlignment="1">
      <alignment vertical="center"/>
    </xf>
    <xf numFmtId="0" fontId="2" fillId="2" borderId="1" xfId="23" applyFill="1" applyBorder="1" applyAlignment="1">
      <alignment horizontal="right" vertical="center"/>
    </xf>
    <xf numFmtId="0" fontId="2" fillId="2" borderId="2" xfId="23" applyFill="1" applyBorder="1" applyAlignment="1">
      <alignment vertical="center"/>
    </xf>
    <xf numFmtId="14" fontId="2" fillId="2" borderId="2" xfId="23" applyNumberFormat="1" applyFill="1" applyBorder="1" applyAlignment="1">
      <alignment horizontal="center" vertical="center"/>
    </xf>
    <xf numFmtId="0" fontId="2" fillId="2" borderId="3" xfId="23" applyFill="1" applyBorder="1" applyAlignment="1">
      <alignment vertical="center"/>
    </xf>
    <xf numFmtId="14" fontId="7" fillId="0" borderId="0" xfId="23" applyNumberFormat="1" applyFont="1" applyAlignment="1">
      <alignment horizontal="center" vertical="center"/>
    </xf>
    <xf numFmtId="0" fontId="2" fillId="2" borderId="4" xfId="23" applyFill="1" applyBorder="1" applyAlignment="1">
      <alignment horizontal="right" vertical="center"/>
    </xf>
    <xf numFmtId="0" fontId="2" fillId="2" borderId="0" xfId="23" applyFill="1" applyAlignment="1">
      <alignment vertical="center"/>
    </xf>
    <xf numFmtId="14" fontId="2" fillId="2" borderId="0" xfId="23" applyNumberFormat="1" applyFill="1" applyAlignment="1">
      <alignment horizontal="center" vertical="center"/>
    </xf>
    <xf numFmtId="0" fontId="2" fillId="2" borderId="5" xfId="23" applyFill="1" applyBorder="1" applyAlignment="1">
      <alignment vertical="center"/>
    </xf>
    <xf numFmtId="0" fontId="54" fillId="0" borderId="0" xfId="23" applyFont="1" applyAlignment="1">
      <alignment vertical="center"/>
    </xf>
    <xf numFmtId="1" fontId="2" fillId="2" borderId="0" xfId="23" applyNumberFormat="1" applyFill="1" applyAlignment="1">
      <alignment horizontal="center" vertical="center"/>
    </xf>
    <xf numFmtId="0" fontId="2" fillId="2" borderId="0" xfId="23" applyFill="1" applyAlignment="1">
      <alignment horizontal="right" vertical="center"/>
    </xf>
    <xf numFmtId="0" fontId="2" fillId="2" borderId="5" xfId="23" applyFill="1" applyBorder="1" applyAlignment="1">
      <alignment horizontal="center" vertical="center"/>
    </xf>
    <xf numFmtId="0" fontId="11" fillId="0" borderId="0" xfId="23" quotePrefix="1" applyFont="1" applyAlignment="1">
      <alignment vertical="center"/>
    </xf>
    <xf numFmtId="0" fontId="55" fillId="0" borderId="0" xfId="23" quotePrefix="1" applyFont="1" applyAlignment="1">
      <alignment vertical="center"/>
    </xf>
    <xf numFmtId="14" fontId="2" fillId="2" borderId="4" xfId="23" applyNumberFormat="1" applyFill="1" applyBorder="1" applyAlignment="1">
      <alignment horizontal="right" vertical="center"/>
    </xf>
    <xf numFmtId="0" fontId="2" fillId="2" borderId="0" xfId="23" applyFill="1" applyAlignment="1">
      <alignment horizontal="center" vertical="center"/>
    </xf>
    <xf numFmtId="14" fontId="2" fillId="2" borderId="5" xfId="23" applyNumberFormat="1" applyFill="1" applyBorder="1" applyAlignment="1">
      <alignment horizontal="center" vertical="center"/>
    </xf>
    <xf numFmtId="0" fontId="11" fillId="0" borderId="5" xfId="23" applyFont="1" applyBorder="1" applyAlignment="1">
      <alignment vertical="center"/>
    </xf>
    <xf numFmtId="14" fontId="2" fillId="2" borderId="6" xfId="23" applyNumberFormat="1" applyFill="1" applyBorder="1" applyAlignment="1">
      <alignment horizontal="right" vertical="center"/>
    </xf>
    <xf numFmtId="14" fontId="2" fillId="2" borderId="7" xfId="23" applyNumberFormat="1" applyFill="1" applyBorder="1" applyAlignment="1">
      <alignment horizontal="center" vertical="center"/>
    </xf>
    <xf numFmtId="0" fontId="2" fillId="2" borderId="7" xfId="23" applyFill="1" applyBorder="1" applyAlignment="1">
      <alignment vertical="center"/>
    </xf>
    <xf numFmtId="0" fontId="2" fillId="2" borderId="8" xfId="23" applyFill="1" applyBorder="1" applyAlignment="1">
      <alignment vertical="center"/>
    </xf>
    <xf numFmtId="171" fontId="7" fillId="0" borderId="0" xfId="23" applyNumberFormat="1" applyFont="1" applyAlignment="1">
      <alignment horizontal="center" vertical="center"/>
    </xf>
    <xf numFmtId="0" fontId="7" fillId="0" borderId="5" xfId="23" applyFont="1" applyBorder="1" applyAlignment="1">
      <alignment vertical="center"/>
    </xf>
    <xf numFmtId="165" fontId="2" fillId="0" borderId="0" xfId="23" applyNumberFormat="1" applyAlignment="1">
      <alignment vertical="center"/>
    </xf>
    <xf numFmtId="0" fontId="57" fillId="0" borderId="0" xfId="23" applyFont="1" applyAlignment="1">
      <alignment vertical="center"/>
    </xf>
    <xf numFmtId="0" fontId="62" fillId="0" borderId="0" xfId="23" applyFont="1" applyAlignment="1">
      <alignment vertical="center"/>
    </xf>
    <xf numFmtId="165" fontId="2" fillId="0" borderId="5" xfId="23" applyNumberFormat="1" applyBorder="1" applyAlignment="1">
      <alignment vertical="center"/>
    </xf>
    <xf numFmtId="0" fontId="2" fillId="0" borderId="0" xfId="21" applyFont="1" applyAlignment="1">
      <alignment horizontal="center" vertical="center" wrapText="1"/>
    </xf>
    <xf numFmtId="0" fontId="2" fillId="0" borderId="0" xfId="18" applyFont="1" applyAlignment="1">
      <alignment horizontal="center" vertical="center" wrapText="1"/>
    </xf>
    <xf numFmtId="0" fontId="2" fillId="0" borderId="0" xfId="20" applyFont="1" applyAlignment="1">
      <alignment horizontal="center" vertical="center" wrapText="1"/>
    </xf>
    <xf numFmtId="0" fontId="2" fillId="0" borderId="0" xfId="20" applyFont="1" applyAlignment="1">
      <alignment horizontal="left" vertical="center"/>
    </xf>
    <xf numFmtId="0" fontId="63" fillId="0" borderId="0" xfId="22" applyFont="1" applyAlignment="1">
      <alignment horizontal="left" vertical="center" wrapText="1"/>
    </xf>
    <xf numFmtId="0" fontId="63" fillId="0" borderId="0" xfId="18" applyFont="1" applyAlignment="1">
      <alignment horizontal="right" vertical="center" wrapText="1"/>
    </xf>
    <xf numFmtId="0" fontId="63" fillId="0" borderId="0" xfId="20" applyFont="1" applyAlignment="1">
      <alignment horizontal="right" vertical="center" wrapText="1"/>
    </xf>
    <xf numFmtId="0" fontId="63" fillId="0" borderId="0" xfId="22" applyFont="1" applyAlignment="1">
      <alignment horizontal="right" vertical="center" wrapText="1"/>
    </xf>
    <xf numFmtId="4" fontId="2" fillId="0" borderId="0" xfId="10" applyNumberFormat="1" applyFont="1" applyAlignment="1">
      <alignment horizontal="right" vertical="center" wrapText="1"/>
    </xf>
    <xf numFmtId="10" fontId="2" fillId="0" borderId="0" xfId="10" applyNumberFormat="1" applyFont="1" applyAlignment="1">
      <alignment horizontal="right" vertical="center" wrapText="1"/>
    </xf>
    <xf numFmtId="3" fontId="2" fillId="0" borderId="0" xfId="10" applyNumberFormat="1" applyFont="1" applyAlignment="1">
      <alignment horizontal="right" vertical="center" wrapText="1"/>
    </xf>
    <xf numFmtId="0" fontId="7" fillId="2" borderId="31" xfId="23" applyFont="1" applyFill="1" applyBorder="1" applyAlignment="1">
      <alignment vertical="center"/>
    </xf>
    <xf numFmtId="0" fontId="2" fillId="2" borderId="30" xfId="23" applyFill="1" applyBorder="1" applyAlignment="1">
      <alignment horizontal="center" vertical="center"/>
    </xf>
    <xf numFmtId="0" fontId="2" fillId="2" borderId="36" xfId="23" applyFill="1" applyBorder="1" applyAlignment="1">
      <alignment horizontal="center" vertical="center" wrapText="1"/>
    </xf>
    <xf numFmtId="0" fontId="2" fillId="0" borderId="59" xfId="23" applyBorder="1" applyAlignment="1">
      <alignment vertical="center"/>
    </xf>
    <xf numFmtId="0" fontId="44" fillId="0" borderId="1" xfId="23" applyFont="1" applyBorder="1" applyAlignment="1">
      <alignment horizontal="center" vertical="center"/>
    </xf>
    <xf numFmtId="0" fontId="44" fillId="0" borderId="2" xfId="23" applyFont="1" applyBorder="1" applyAlignment="1">
      <alignment horizontal="center" vertical="center"/>
    </xf>
    <xf numFmtId="0" fontId="44" fillId="0" borderId="3" xfId="23" applyFont="1" applyBorder="1" applyAlignment="1">
      <alignment horizontal="center" vertical="center"/>
    </xf>
    <xf numFmtId="0" fontId="2" fillId="0" borderId="60" xfId="23" applyBorder="1" applyAlignment="1">
      <alignment horizontal="center" vertical="center"/>
    </xf>
    <xf numFmtId="0" fontId="2" fillId="0" borderId="10" xfId="23" applyBorder="1" applyAlignment="1">
      <alignment vertical="center" wrapText="1"/>
    </xf>
    <xf numFmtId="0" fontId="2" fillId="0" borderId="41" xfId="23" applyBorder="1" applyAlignment="1">
      <alignment horizontal="center" vertical="center"/>
    </xf>
    <xf numFmtId="0" fontId="2" fillId="0" borderId="4" xfId="23" quotePrefix="1" applyBorder="1" applyAlignment="1">
      <alignment horizontal="center" vertical="center"/>
    </xf>
    <xf numFmtId="10" fontId="2" fillId="0" borderId="4" xfId="10" applyNumberFormat="1" applyFont="1" applyBorder="1" applyAlignment="1">
      <alignment horizontal="center" vertical="center" wrapText="1"/>
    </xf>
    <xf numFmtId="0" fontId="7" fillId="0" borderId="18" xfId="23" applyFont="1" applyBorder="1" applyAlignment="1">
      <alignment vertical="center"/>
    </xf>
    <xf numFmtId="0" fontId="2" fillId="0" borderId="42" xfId="23" applyBorder="1" applyAlignment="1">
      <alignment vertical="center"/>
    </xf>
    <xf numFmtId="0" fontId="2" fillId="0" borderId="11" xfId="23" applyBorder="1" applyAlignment="1">
      <alignment horizontal="center" vertical="center"/>
    </xf>
    <xf numFmtId="0" fontId="2" fillId="2" borderId="57" xfId="23" applyFill="1" applyBorder="1" applyAlignment="1">
      <alignment vertical="center"/>
    </xf>
    <xf numFmtId="0" fontId="2" fillId="2" borderId="34" xfId="23" applyFill="1" applyBorder="1" applyAlignment="1">
      <alignment vertical="center"/>
    </xf>
    <xf numFmtId="0" fontId="2" fillId="2" borderId="61" xfId="23" applyFill="1" applyBorder="1" applyAlignment="1">
      <alignment vertical="center"/>
    </xf>
    <xf numFmtId="184" fontId="2" fillId="0" borderId="0" xfId="1" applyNumberFormat="1" applyFont="1" applyFill="1" applyBorder="1" applyAlignment="1">
      <alignment horizontal="right" vertical="center"/>
    </xf>
    <xf numFmtId="10" fontId="7" fillId="0" borderId="0" xfId="27" applyNumberFormat="1" applyFont="1" applyFill="1" applyBorder="1" applyAlignment="1">
      <alignment vertical="center"/>
    </xf>
    <xf numFmtId="3" fontId="7" fillId="0" borderId="0" xfId="23" applyNumberFormat="1" applyFont="1" applyAlignment="1">
      <alignment vertical="center"/>
    </xf>
    <xf numFmtId="165" fontId="2" fillId="0" borderId="0" xfId="1" applyFont="1" applyFill="1" applyBorder="1" applyAlignment="1">
      <alignment horizontal="right" vertical="center"/>
    </xf>
    <xf numFmtId="0" fontId="2" fillId="0" borderId="6" xfId="23" applyBorder="1" applyAlignment="1">
      <alignment vertical="center"/>
    </xf>
    <xf numFmtId="10" fontId="6" fillId="0" borderId="7" xfId="9" applyNumberFormat="1" applyBorder="1" applyAlignment="1">
      <alignment horizontal="right" vertical="center" wrapText="1"/>
    </xf>
    <xf numFmtId="165" fontId="2" fillId="0" borderId="7" xfId="23" applyNumberFormat="1" applyBorder="1" applyAlignment="1">
      <alignment vertical="center"/>
    </xf>
    <xf numFmtId="0" fontId="6" fillId="0" borderId="0" xfId="23" applyFont="1" applyAlignment="1">
      <alignment vertical="center"/>
    </xf>
    <xf numFmtId="4" fontId="6" fillId="0" borderId="0" xfId="23" applyNumberFormat="1" applyFont="1" applyAlignment="1">
      <alignment vertical="center"/>
    </xf>
    <xf numFmtId="3" fontId="6" fillId="0" borderId="0" xfId="23" applyNumberFormat="1" applyFont="1" applyAlignment="1">
      <alignment vertical="center"/>
    </xf>
    <xf numFmtId="0" fontId="59" fillId="0" borderId="0" xfId="23" applyFont="1" applyAlignment="1">
      <alignment vertical="center"/>
    </xf>
    <xf numFmtId="4" fontId="59" fillId="0" borderId="0" xfId="23" applyNumberFormat="1" applyFont="1" applyAlignment="1">
      <alignment vertical="center"/>
    </xf>
    <xf numFmtId="4" fontId="2" fillId="0" borderId="0" xfId="23" applyNumberFormat="1" applyAlignment="1">
      <alignment vertical="center"/>
    </xf>
    <xf numFmtId="14" fontId="7" fillId="0" borderId="5" xfId="23" applyNumberFormat="1" applyFont="1" applyBorder="1" applyAlignment="1">
      <alignment horizontal="center" vertical="center"/>
    </xf>
    <xf numFmtId="0" fontId="7" fillId="0" borderId="5" xfId="23" applyFont="1" applyBorder="1" applyAlignment="1">
      <alignment horizontal="center" vertical="center"/>
    </xf>
    <xf numFmtId="0" fontId="11" fillId="0" borderId="0" xfId="23" applyFont="1" applyAlignment="1">
      <alignment vertical="center"/>
    </xf>
    <xf numFmtId="1" fontId="9" fillId="0" borderId="0" xfId="23" applyNumberFormat="1" applyFont="1" applyAlignment="1">
      <alignment vertical="center"/>
    </xf>
    <xf numFmtId="0" fontId="25" fillId="0" borderId="0" xfId="18" applyFont="1" applyAlignment="1">
      <alignment horizontal="center" vertical="center" wrapText="1"/>
    </xf>
    <xf numFmtId="0" fontId="25" fillId="0" borderId="0" xfId="20" applyFont="1" applyAlignment="1">
      <alignment horizontal="center" vertical="center" wrapText="1"/>
    </xf>
    <xf numFmtId="0" fontId="64" fillId="0" borderId="0" xfId="20" applyFont="1" applyAlignment="1">
      <alignment horizontal="left" vertical="center" wrapText="1"/>
    </xf>
    <xf numFmtId="0" fontId="64" fillId="0" borderId="0" xfId="22" applyFont="1" applyAlignment="1">
      <alignment horizontal="right" vertical="center" wrapText="1"/>
    </xf>
    <xf numFmtId="10" fontId="25" fillId="0" borderId="0" xfId="10" applyNumberFormat="1" applyFont="1" applyAlignment="1">
      <alignment horizontal="right" vertical="center" wrapText="1"/>
    </xf>
    <xf numFmtId="0" fontId="65" fillId="0" borderId="0" xfId="2" applyFont="1" applyFill="1" applyBorder="1" applyAlignment="1" applyProtection="1">
      <alignment vertical="center"/>
    </xf>
    <xf numFmtId="10" fontId="25" fillId="0" borderId="0" xfId="10" applyNumberFormat="1" applyFont="1" applyAlignment="1">
      <alignment horizontal="left" vertical="center" wrapText="1"/>
    </xf>
    <xf numFmtId="3" fontId="25" fillId="0" borderId="0" xfId="10" applyNumberFormat="1" applyFont="1" applyAlignment="1">
      <alignment horizontal="left" vertical="center" wrapText="1"/>
    </xf>
    <xf numFmtId="10" fontId="13" fillId="0" borderId="0" xfId="17" applyNumberFormat="1" applyFont="1" applyBorder="1" applyAlignment="1">
      <alignment vertical="center"/>
    </xf>
    <xf numFmtId="3" fontId="13" fillId="0" borderId="0" xfId="23" applyNumberFormat="1" applyFont="1" applyAlignment="1">
      <alignment vertical="center"/>
    </xf>
    <xf numFmtId="0" fontId="6" fillId="0" borderId="7" xfId="9" applyBorder="1" applyAlignment="1">
      <alignment vertical="center" wrapText="1"/>
    </xf>
    <xf numFmtId="3" fontId="6" fillId="0" borderId="7" xfId="9" applyNumberFormat="1" applyBorder="1" applyAlignment="1">
      <alignment horizontal="right" vertical="center" wrapText="1"/>
    </xf>
    <xf numFmtId="14" fontId="2" fillId="2" borderId="2" xfId="23" applyNumberFormat="1" applyFill="1" applyBorder="1" applyAlignment="1">
      <alignment vertical="center"/>
    </xf>
    <xf numFmtId="14" fontId="2" fillId="2" borderId="0" xfId="23" applyNumberFormat="1" applyFill="1" applyAlignment="1">
      <alignment vertical="center"/>
    </xf>
    <xf numFmtId="1" fontId="2" fillId="2" borderId="0" xfId="23" applyNumberFormat="1" applyFill="1" applyAlignment="1">
      <alignment vertical="center"/>
    </xf>
    <xf numFmtId="174" fontId="2" fillId="2" borderId="0" xfId="23" applyNumberFormat="1" applyFill="1" applyAlignment="1">
      <alignment horizontal="center" vertical="center"/>
    </xf>
    <xf numFmtId="0" fontId="7" fillId="2" borderId="7" xfId="23" applyFont="1" applyFill="1" applyBorder="1" applyAlignment="1">
      <alignment horizontal="center" vertical="center"/>
    </xf>
    <xf numFmtId="0" fontId="2" fillId="0" borderId="0" xfId="49" applyAlignment="1">
      <alignment vertical="center"/>
    </xf>
    <xf numFmtId="0" fontId="66" fillId="0" borderId="0" xfId="23" applyFont="1" applyAlignment="1">
      <alignment vertical="center"/>
    </xf>
    <xf numFmtId="14" fontId="7" fillId="0" borderId="5" xfId="0" applyNumberFormat="1" applyFont="1" applyBorder="1" applyAlignment="1">
      <alignment horizontal="center" vertical="center"/>
    </xf>
    <xf numFmtId="0" fontId="2" fillId="2" borderId="7" xfId="0" applyFont="1" applyFill="1" applyBorder="1" applyAlignment="1">
      <alignment vertical="center"/>
    </xf>
    <xf numFmtId="0" fontId="62" fillId="0" borderId="0" xfId="0" applyFont="1" applyAlignment="1">
      <alignment vertical="center"/>
    </xf>
    <xf numFmtId="0" fontId="12" fillId="0" borderId="0" xfId="0" applyFont="1" applyAlignment="1">
      <alignment vertical="center" wrapText="1"/>
    </xf>
    <xf numFmtId="4" fontId="6" fillId="0" borderId="0" xfId="10" applyNumberFormat="1" applyAlignment="1">
      <alignment horizontal="right" vertical="center" wrapText="1"/>
    </xf>
    <xf numFmtId="3" fontId="6" fillId="0" borderId="0" xfId="10" applyNumberFormat="1" applyAlignment="1">
      <alignment horizontal="right" vertical="center" wrapText="1"/>
    </xf>
    <xf numFmtId="166" fontId="2" fillId="0" borderId="0" xfId="0" applyNumberFormat="1" applyFont="1" applyAlignment="1">
      <alignment vertical="center"/>
    </xf>
    <xf numFmtId="10" fontId="2" fillId="0" borderId="7" xfId="17" applyNumberFormat="1" applyFont="1" applyBorder="1" applyAlignment="1">
      <alignment vertical="center"/>
    </xf>
    <xf numFmtId="168" fontId="6" fillId="0" borderId="0" xfId="17" applyNumberFormat="1" applyFont="1" applyFill="1" applyBorder="1" applyAlignment="1">
      <alignment horizontal="right" vertical="center" wrapText="1"/>
    </xf>
    <xf numFmtId="10" fontId="6" fillId="28" borderId="0" xfId="9" applyNumberFormat="1" applyFill="1" applyAlignment="1">
      <alignment horizontal="right" vertical="center" wrapText="1"/>
    </xf>
    <xf numFmtId="0" fontId="2" fillId="0" borderId="2" xfId="0" applyFont="1" applyBorder="1" applyAlignment="1">
      <alignment horizontal="right" vertical="center"/>
    </xf>
    <xf numFmtId="164" fontId="2" fillId="2" borderId="5" xfId="115" applyFont="1" applyFill="1" applyBorder="1" applyAlignment="1">
      <alignment horizontal="center" vertical="center"/>
    </xf>
    <xf numFmtId="184" fontId="2" fillId="0" borderId="0" xfId="116" applyNumberFormat="1" applyFont="1" applyBorder="1" applyAlignment="1">
      <alignment horizontal="right" vertical="center"/>
    </xf>
    <xf numFmtId="0" fontId="2" fillId="0" borderId="0" xfId="0" applyFont="1" applyAlignment="1">
      <alignment horizontal="left" vertical="center"/>
    </xf>
    <xf numFmtId="184" fontId="2" fillId="0" borderId="64" xfId="116" applyNumberFormat="1" applyFont="1" applyFill="1" applyBorder="1" applyAlignment="1">
      <alignment horizontal="right" vertical="center"/>
    </xf>
    <xf numFmtId="184" fontId="2" fillId="0" borderId="0" xfId="116" applyNumberFormat="1" applyFont="1" applyFill="1" applyBorder="1" applyAlignment="1">
      <alignment horizontal="right" vertical="center"/>
    </xf>
    <xf numFmtId="0" fontId="2" fillId="0" borderId="7" xfId="0" applyFont="1" applyBorder="1" applyAlignment="1">
      <alignment horizontal="right" vertical="center"/>
    </xf>
    <xf numFmtId="0" fontId="6" fillId="0" borderId="0" xfId="20" applyFont="1" applyAlignment="1">
      <alignment horizontal="right" vertical="center" wrapText="1"/>
    </xf>
    <xf numFmtId="0" fontId="9" fillId="0" borderId="2" xfId="0" applyFont="1" applyBorder="1" applyAlignment="1">
      <alignment vertical="center"/>
    </xf>
    <xf numFmtId="0" fontId="6" fillId="0" borderId="2" xfId="21" applyFont="1" applyBorder="1" applyAlignment="1">
      <alignment horizontal="center" vertical="center" wrapText="1"/>
    </xf>
    <xf numFmtId="0" fontId="6" fillId="0" borderId="2" xfId="18" applyFont="1" applyBorder="1" applyAlignment="1">
      <alignment horizontal="center" vertical="center" wrapText="1"/>
    </xf>
    <xf numFmtId="0" fontId="6" fillId="0" borderId="2" xfId="20" applyFont="1" applyBorder="1" applyAlignment="1">
      <alignment horizontal="center" vertical="center" wrapText="1"/>
    </xf>
    <xf numFmtId="0" fontId="6" fillId="0" borderId="2" xfId="20" applyFont="1" applyBorder="1" applyAlignment="1">
      <alignment horizontal="right" vertical="center" wrapText="1"/>
    </xf>
    <xf numFmtId="165" fontId="2" fillId="0" borderId="2" xfId="0" applyNumberFormat="1" applyFont="1" applyBorder="1" applyAlignment="1">
      <alignment vertical="center"/>
    </xf>
    <xf numFmtId="0" fontId="11" fillId="0" borderId="3" xfId="0" applyFont="1" applyBorder="1" applyAlignment="1">
      <alignment horizontal="right" vertical="center"/>
    </xf>
    <xf numFmtId="0" fontId="3" fillId="0" borderId="5" xfId="0" applyFont="1" applyBorder="1" applyAlignment="1">
      <alignment horizontal="right" vertical="center"/>
    </xf>
    <xf numFmtId="167" fontId="2" fillId="0" borderId="5" xfId="0" applyNumberFormat="1" applyFont="1" applyBorder="1" applyAlignment="1">
      <alignment vertical="center"/>
    </xf>
    <xf numFmtId="167" fontId="2" fillId="0" borderId="8" xfId="0" applyNumberFormat="1" applyFont="1" applyBorder="1" applyAlignment="1">
      <alignment vertical="center"/>
    </xf>
    <xf numFmtId="165" fontId="2" fillId="0" borderId="7" xfId="0" applyNumberFormat="1" applyFont="1" applyBorder="1" applyAlignment="1">
      <alignment vertical="center"/>
    </xf>
    <xf numFmtId="164" fontId="6" fillId="0" borderId="0" xfId="115" applyFont="1" applyFill="1" applyBorder="1" applyAlignment="1">
      <alignment horizontal="right" vertical="center" wrapText="1"/>
    </xf>
    <xf numFmtId="4" fontId="6" fillId="0" borderId="0" xfId="0" applyNumberFormat="1" applyFont="1" applyAlignment="1">
      <alignment horizontal="right" vertical="center"/>
    </xf>
    <xf numFmtId="164" fontId="60" fillId="0" borderId="0" xfId="115" applyFont="1" applyFill="1" applyBorder="1" applyAlignment="1">
      <alignment horizontal="right" vertical="center" wrapText="1"/>
    </xf>
    <xf numFmtId="0" fontId="2" fillId="0" borderId="1" xfId="49" applyBorder="1" applyAlignment="1">
      <alignment vertical="center"/>
    </xf>
    <xf numFmtId="0" fontId="2" fillId="0" borderId="2" xfId="49" applyBorder="1" applyAlignment="1">
      <alignment vertical="center"/>
    </xf>
    <xf numFmtId="0" fontId="2" fillId="0" borderId="3" xfId="49" applyBorder="1" applyAlignment="1">
      <alignment vertical="center"/>
    </xf>
    <xf numFmtId="0" fontId="2" fillId="0" borderId="4" xfId="49" applyBorder="1" applyAlignment="1">
      <alignment vertical="center"/>
    </xf>
    <xf numFmtId="0" fontId="9" fillId="0" borderId="1" xfId="49" applyFont="1" applyBorder="1" applyAlignment="1">
      <alignment vertical="center"/>
    </xf>
    <xf numFmtId="0" fontId="9" fillId="0" borderId="2" xfId="49" applyFont="1" applyBorder="1" applyAlignment="1">
      <alignment vertical="center"/>
    </xf>
    <xf numFmtId="0" fontId="2" fillId="2" borderId="1" xfId="49" applyFill="1" applyBorder="1" applyAlignment="1">
      <alignment horizontal="right" vertical="center"/>
    </xf>
    <xf numFmtId="0" fontId="2" fillId="2" borderId="2" xfId="49" applyFill="1" applyBorder="1" applyAlignment="1">
      <alignment vertical="center"/>
    </xf>
    <xf numFmtId="14" fontId="2" fillId="2" borderId="2" xfId="49" applyNumberFormat="1" applyFill="1" applyBorder="1" applyAlignment="1">
      <alignment horizontal="center" vertical="center"/>
    </xf>
    <xf numFmtId="0" fontId="2" fillId="2" borderId="3" xfId="49" applyFill="1" applyBorder="1" applyAlignment="1">
      <alignment vertical="center"/>
    </xf>
    <xf numFmtId="0" fontId="2" fillId="0" borderId="5" xfId="49" applyBorder="1" applyAlignment="1">
      <alignment vertical="center"/>
    </xf>
    <xf numFmtId="0" fontId="9" fillId="0" borderId="4" xfId="49" applyFont="1" applyBorder="1" applyAlignment="1">
      <alignment vertical="center"/>
    </xf>
    <xf numFmtId="0" fontId="9" fillId="0" borderId="0" xfId="49" applyFont="1" applyAlignment="1">
      <alignment vertical="center"/>
    </xf>
    <xf numFmtId="0" fontId="2" fillId="2" borderId="4" xfId="49" applyFill="1" applyBorder="1" applyAlignment="1">
      <alignment horizontal="right" vertical="center"/>
    </xf>
    <xf numFmtId="0" fontId="2" fillId="2" borderId="0" xfId="49" applyFill="1" applyAlignment="1">
      <alignment vertical="center"/>
    </xf>
    <xf numFmtId="14" fontId="2" fillId="2" borderId="0" xfId="49" applyNumberFormat="1" applyFill="1" applyAlignment="1">
      <alignment horizontal="center" vertical="center"/>
    </xf>
    <xf numFmtId="0" fontId="2" fillId="2" borderId="5" xfId="49" applyFill="1" applyBorder="1" applyAlignment="1">
      <alignment vertical="center"/>
    </xf>
    <xf numFmtId="0" fontId="54" fillId="0" borderId="4" xfId="49" applyFont="1" applyBorder="1" applyAlignment="1">
      <alignment horizontal="right" vertical="center"/>
    </xf>
    <xf numFmtId="0" fontId="2" fillId="0" borderId="0" xfId="49" applyAlignment="1">
      <alignment horizontal="right" vertical="center"/>
    </xf>
    <xf numFmtId="1" fontId="2" fillId="2" borderId="0" xfId="49" applyNumberFormat="1" applyFill="1" applyAlignment="1">
      <alignment horizontal="center" vertical="center"/>
    </xf>
    <xf numFmtId="0" fontId="2" fillId="2" borderId="0" xfId="49" applyFill="1" applyAlignment="1">
      <alignment horizontal="right" vertical="center"/>
    </xf>
    <xf numFmtId="0" fontId="2" fillId="0" borderId="5" xfId="49" applyBorder="1" applyAlignment="1">
      <alignment horizontal="center" vertical="center"/>
    </xf>
    <xf numFmtId="0" fontId="2" fillId="0" borderId="4" xfId="49" applyBorder="1" applyAlignment="1">
      <alignment horizontal="center" vertical="center"/>
    </xf>
    <xf numFmtId="0" fontId="11" fillId="0" borderId="4" xfId="49" quotePrefix="1" applyFont="1" applyBorder="1" applyAlignment="1">
      <alignment vertical="center"/>
    </xf>
    <xf numFmtId="0" fontId="11" fillId="0" borderId="0" xfId="49" quotePrefix="1" applyFont="1" applyAlignment="1">
      <alignment vertical="center"/>
    </xf>
    <xf numFmtId="0" fontId="55" fillId="0" borderId="4" xfId="49" quotePrefix="1" applyFont="1" applyBorder="1" applyAlignment="1">
      <alignment vertical="center"/>
    </xf>
    <xf numFmtId="0" fontId="54" fillId="0" borderId="0" xfId="49" applyFont="1" applyAlignment="1">
      <alignment vertical="center"/>
    </xf>
    <xf numFmtId="0" fontId="2" fillId="2" borderId="0" xfId="49" applyFill="1" applyAlignment="1">
      <alignment horizontal="center" vertical="center"/>
    </xf>
    <xf numFmtId="0" fontId="2" fillId="2" borderId="5" xfId="49" applyFill="1" applyBorder="1" applyAlignment="1">
      <alignment horizontal="center" vertical="center"/>
    </xf>
    <xf numFmtId="164" fontId="2" fillId="0" borderId="5" xfId="36" applyFont="1" applyFill="1" applyBorder="1" applyAlignment="1">
      <alignment horizontal="center" vertical="center"/>
    </xf>
    <xf numFmtId="164" fontId="2" fillId="0" borderId="4" xfId="36" applyFont="1" applyFill="1" applyBorder="1" applyAlignment="1">
      <alignment horizontal="center" vertical="center"/>
    </xf>
    <xf numFmtId="0" fontId="7" fillId="0" borderId="0" xfId="49" applyFont="1" applyAlignment="1">
      <alignment horizontal="center" vertical="center"/>
    </xf>
    <xf numFmtId="0" fontId="2" fillId="2" borderId="6" xfId="49" applyFill="1" applyBorder="1" applyAlignment="1">
      <alignment horizontal="right" vertical="center"/>
    </xf>
    <xf numFmtId="0" fontId="2" fillId="2" borderId="7" xfId="49" applyFill="1" applyBorder="1" applyAlignment="1">
      <alignment horizontal="center" vertical="center"/>
    </xf>
    <xf numFmtId="14" fontId="2" fillId="2" borderId="7" xfId="49" applyNumberFormat="1" applyFill="1" applyBorder="1" applyAlignment="1">
      <alignment horizontal="center" vertical="center"/>
    </xf>
    <xf numFmtId="0" fontId="2" fillId="2" borderId="7" xfId="49" applyFill="1" applyBorder="1" applyAlignment="1">
      <alignment vertical="center"/>
    </xf>
    <xf numFmtId="0" fontId="2" fillId="2" borderId="8" xfId="49" applyFill="1" applyBorder="1" applyAlignment="1">
      <alignment vertical="center"/>
    </xf>
    <xf numFmtId="0" fontId="67" fillId="0" borderId="0" xfId="49" applyFont="1" applyAlignment="1">
      <alignment horizontal="center" vertical="center"/>
    </xf>
    <xf numFmtId="0" fontId="2" fillId="0" borderId="0" xfId="49" applyAlignment="1">
      <alignment horizontal="center" vertical="center"/>
    </xf>
    <xf numFmtId="14" fontId="7" fillId="0" borderId="0" xfId="49" applyNumberFormat="1" applyFont="1" applyAlignment="1">
      <alignment horizontal="center" vertical="center"/>
    </xf>
    <xf numFmtId="171" fontId="7" fillId="0" borderId="5" xfId="49" applyNumberFormat="1" applyFont="1" applyBorder="1" applyAlignment="1">
      <alignment horizontal="center" vertical="center"/>
    </xf>
    <xf numFmtId="171" fontId="7" fillId="0" borderId="4" xfId="49" applyNumberFormat="1" applyFont="1" applyBorder="1" applyAlignment="1">
      <alignment horizontal="center" vertical="center"/>
    </xf>
    <xf numFmtId="14" fontId="2" fillId="0" borderId="0" xfId="49" applyNumberFormat="1" applyAlignment="1">
      <alignment horizontal="center" vertical="center"/>
    </xf>
    <xf numFmtId="165" fontId="2" fillId="0" borderId="0" xfId="49" applyNumberFormat="1" applyAlignment="1">
      <alignment horizontal="right" vertical="center"/>
    </xf>
    <xf numFmtId="0" fontId="7" fillId="0" borderId="0" xfId="49" applyFont="1" applyAlignment="1">
      <alignment horizontal="right" vertical="center" wrapText="1"/>
    </xf>
    <xf numFmtId="0" fontId="7" fillId="0" borderId="0" xfId="49" applyFont="1" applyAlignment="1">
      <alignment horizontal="right" vertical="center"/>
    </xf>
    <xf numFmtId="165" fontId="7" fillId="0" borderId="0" xfId="33" applyFont="1" applyFill="1" applyBorder="1" applyAlignment="1">
      <alignment horizontal="right" vertical="center"/>
    </xf>
    <xf numFmtId="0" fontId="7" fillId="0" borderId="5" xfId="49" applyFont="1" applyBorder="1" applyAlignment="1">
      <alignment horizontal="right" vertical="center" wrapText="1"/>
    </xf>
    <xf numFmtId="0" fontId="7" fillId="0" borderId="4" xfId="49" applyFont="1" applyBorder="1" applyAlignment="1">
      <alignment horizontal="right" vertical="center" wrapText="1"/>
    </xf>
    <xf numFmtId="10" fontId="2" fillId="0" borderId="0" xfId="44" applyNumberFormat="1" applyFont="1" applyFill="1" applyBorder="1" applyAlignment="1">
      <alignment horizontal="right" vertical="center"/>
    </xf>
    <xf numFmtId="165" fontId="2" fillId="0" borderId="0" xfId="33" applyFont="1" applyFill="1" applyBorder="1" applyAlignment="1">
      <alignment horizontal="right" vertical="center"/>
    </xf>
    <xf numFmtId="0" fontId="2" fillId="0" borderId="5" xfId="49" applyBorder="1" applyAlignment="1">
      <alignment horizontal="right" vertical="center"/>
    </xf>
    <xf numFmtId="0" fontId="2" fillId="0" borderId="4" xfId="49" quotePrefix="1" applyBorder="1" applyAlignment="1">
      <alignment vertical="center"/>
    </xf>
    <xf numFmtId="165" fontId="2" fillId="0" borderId="0" xfId="33" applyFont="1" applyBorder="1" applyAlignment="1">
      <alignment horizontal="right" vertical="center"/>
    </xf>
    <xf numFmtId="10" fontId="7" fillId="0" borderId="0" xfId="49" applyNumberFormat="1" applyFont="1" applyAlignment="1">
      <alignment horizontal="center" vertical="center"/>
    </xf>
    <xf numFmtId="10" fontId="7" fillId="0" borderId="4" xfId="49" applyNumberFormat="1" applyFont="1" applyBorder="1" applyAlignment="1">
      <alignment horizontal="right" vertical="center"/>
    </xf>
    <xf numFmtId="10" fontId="2" fillId="0" borderId="4" xfId="49" quotePrefix="1" applyNumberFormat="1" applyBorder="1" applyAlignment="1">
      <alignment horizontal="right" vertical="center"/>
    </xf>
    <xf numFmtId="10" fontId="2" fillId="0" borderId="0" xfId="44" applyNumberFormat="1" applyFont="1" applyBorder="1" applyAlignment="1">
      <alignment horizontal="center" vertical="center"/>
    </xf>
    <xf numFmtId="184" fontId="7" fillId="0" borderId="5" xfId="49" applyNumberFormat="1" applyFont="1" applyBorder="1" applyAlignment="1">
      <alignment horizontal="center" vertical="center"/>
    </xf>
    <xf numFmtId="10" fontId="7" fillId="0" borderId="5" xfId="49" applyNumberFormat="1" applyFont="1" applyBorder="1" applyAlignment="1">
      <alignment horizontal="right" vertical="center"/>
    </xf>
    <xf numFmtId="10" fontId="7" fillId="0" borderId="0" xfId="49" applyNumberFormat="1" applyFont="1" applyAlignment="1">
      <alignment horizontal="right" vertical="center"/>
    </xf>
    <xf numFmtId="10" fontId="2" fillId="0" borderId="0" xfId="49" quotePrefix="1" applyNumberFormat="1" applyAlignment="1">
      <alignment horizontal="right" vertical="center"/>
    </xf>
    <xf numFmtId="10" fontId="7" fillId="0" borderId="0" xfId="44" applyNumberFormat="1" applyFont="1" applyFill="1" applyBorder="1" applyAlignment="1">
      <alignment horizontal="center" vertical="center"/>
    </xf>
    <xf numFmtId="10" fontId="2" fillId="0" borderId="0" xfId="44" applyNumberFormat="1" applyFont="1" applyFill="1" applyBorder="1" applyAlignment="1">
      <alignment horizontal="center" vertical="center"/>
    </xf>
    <xf numFmtId="4" fontId="2" fillId="0" borderId="0" xfId="49" applyNumberFormat="1" applyAlignment="1">
      <alignment horizontal="center" vertical="center"/>
    </xf>
    <xf numFmtId="0" fontId="2" fillId="0" borderId="6" xfId="49" applyBorder="1" applyAlignment="1">
      <alignment vertical="center"/>
    </xf>
    <xf numFmtId="0" fontId="2" fillId="0" borderId="7" xfId="49" applyBorder="1" applyAlignment="1">
      <alignment vertical="center"/>
    </xf>
    <xf numFmtId="0" fontId="2" fillId="0" borderId="8" xfId="49" applyBorder="1" applyAlignment="1">
      <alignment vertical="center"/>
    </xf>
    <xf numFmtId="14" fontId="2" fillId="0" borderId="0" xfId="0" applyNumberFormat="1" applyFont="1" applyAlignment="1">
      <alignment horizontal="center" vertical="center"/>
    </xf>
    <xf numFmtId="1" fontId="2" fillId="0" borderId="0" xfId="0" applyNumberFormat="1" applyFont="1" applyAlignment="1">
      <alignment horizontal="center" vertical="center"/>
    </xf>
    <xf numFmtId="174" fontId="2" fillId="0" borderId="0" xfId="0" applyNumberFormat="1" applyFont="1" applyAlignment="1">
      <alignment horizontal="center" vertical="center"/>
    </xf>
    <xf numFmtId="170" fontId="2" fillId="0" borderId="0" xfId="17" applyNumberFormat="1" applyFont="1" applyFill="1" applyBorder="1" applyAlignment="1">
      <alignment horizontal="center" vertical="center"/>
    </xf>
    <xf numFmtId="0" fontId="61" fillId="2" borderId="20" xfId="18" applyFont="1" applyFill="1" applyBorder="1" applyAlignment="1">
      <alignment horizontal="left" vertical="center" wrapText="1"/>
    </xf>
    <xf numFmtId="0" fontId="61" fillId="2" borderId="21" xfId="18" applyFont="1" applyFill="1" applyBorder="1" applyAlignment="1">
      <alignment horizontal="right" vertical="center" wrapText="1"/>
    </xf>
    <xf numFmtId="0" fontId="61" fillId="2" borderId="22" xfId="18" applyFont="1" applyFill="1" applyBorder="1" applyAlignment="1">
      <alignment horizontal="right" vertical="center" wrapText="1"/>
    </xf>
    <xf numFmtId="0" fontId="61" fillId="2" borderId="0" xfId="18" applyFont="1" applyFill="1" applyAlignment="1">
      <alignment horizontal="left" vertical="center" wrapText="1"/>
    </xf>
    <xf numFmtId="0" fontId="61" fillId="2" borderId="0" xfId="18" applyFont="1" applyFill="1" applyAlignment="1">
      <alignment horizontal="right" vertical="center" wrapText="1"/>
    </xf>
    <xf numFmtId="0" fontId="6" fillId="0" borderId="9" xfId="16" applyBorder="1" applyAlignment="1">
      <alignment horizontal="left" vertical="center" wrapText="1"/>
    </xf>
    <xf numFmtId="3" fontId="2" fillId="0" borderId="30" xfId="0" applyNumberFormat="1" applyFont="1" applyBorder="1" applyAlignment="1">
      <alignment horizontal="right" vertical="center"/>
    </xf>
    <xf numFmtId="0" fontId="6" fillId="0" borderId="0" xfId="4" applyAlignment="1">
      <alignment horizontal="right" vertical="center" wrapText="1"/>
    </xf>
    <xf numFmtId="4" fontId="6" fillId="0" borderId="0" xfId="4" applyNumberFormat="1" applyAlignment="1">
      <alignment horizontal="right" vertical="center" wrapText="1"/>
    </xf>
    <xf numFmtId="3" fontId="2" fillId="0" borderId="10" xfId="0" applyNumberFormat="1" applyFont="1" applyBorder="1" applyAlignment="1">
      <alignment horizontal="right" vertical="center"/>
    </xf>
    <xf numFmtId="0" fontId="7" fillId="0" borderId="23" xfId="0" applyFont="1" applyBorder="1" applyAlignment="1">
      <alignment horizontal="left" vertical="center"/>
    </xf>
    <xf numFmtId="4" fontId="7" fillId="0" borderId="0" xfId="0" applyNumberFormat="1" applyFont="1" applyAlignment="1">
      <alignment vertical="center"/>
    </xf>
    <xf numFmtId="3" fontId="7" fillId="0" borderId="0" xfId="0" applyNumberFormat="1" applyFont="1" applyAlignment="1">
      <alignment vertical="center"/>
    </xf>
    <xf numFmtId="1" fontId="2" fillId="0" borderId="0" xfId="0" applyNumberFormat="1" applyFont="1" applyAlignment="1">
      <alignment vertical="center"/>
    </xf>
    <xf numFmtId="0" fontId="61" fillId="0" borderId="0" xfId="20" applyFont="1" applyAlignment="1">
      <alignment horizontal="right" vertical="center" wrapText="1"/>
    </xf>
    <xf numFmtId="175" fontId="2" fillId="0" borderId="0" xfId="0" applyNumberFormat="1" applyFont="1" applyAlignment="1">
      <alignment horizontal="center" vertical="center"/>
    </xf>
    <xf numFmtId="0" fontId="61" fillId="2" borderId="26" xfId="22" applyFont="1" applyFill="1" applyBorder="1" applyAlignment="1">
      <alignment horizontal="left" vertical="center" wrapText="1"/>
    </xf>
    <xf numFmtId="0" fontId="61" fillId="2" borderId="27" xfId="18" applyFont="1" applyFill="1" applyBorder="1" applyAlignment="1">
      <alignment horizontal="right" vertical="center" wrapText="1"/>
    </xf>
    <xf numFmtId="0" fontId="61" fillId="2" borderId="27" xfId="20" applyFont="1" applyFill="1" applyBorder="1" applyAlignment="1">
      <alignment horizontal="right" vertical="center" wrapText="1"/>
    </xf>
    <xf numFmtId="0" fontId="61" fillId="2" borderId="30" xfId="20" applyFont="1" applyFill="1" applyBorder="1" applyAlignment="1">
      <alignment horizontal="right" vertical="center" wrapText="1"/>
    </xf>
    <xf numFmtId="0" fontId="61" fillId="2" borderId="36" xfId="22" applyFont="1" applyFill="1" applyBorder="1" applyAlignment="1">
      <alignment horizontal="right" vertical="center" wrapText="1"/>
    </xf>
    <xf numFmtId="4" fontId="6" fillId="0" borderId="10" xfId="10" applyNumberFormat="1" applyBorder="1" applyAlignment="1">
      <alignment horizontal="right" vertical="center" wrapText="1"/>
    </xf>
    <xf numFmtId="10" fontId="6" fillId="0" borderId="10" xfId="10" applyNumberFormat="1" applyBorder="1" applyAlignment="1">
      <alignment horizontal="right" vertical="center" wrapText="1"/>
    </xf>
    <xf numFmtId="3" fontId="6" fillId="0" borderId="10" xfId="10" applyNumberFormat="1" applyBorder="1" applyAlignment="1">
      <alignment horizontal="right" vertical="center" wrapText="1"/>
    </xf>
    <xf numFmtId="10" fontId="6" fillId="0" borderId="11" xfId="10" applyNumberFormat="1" applyBorder="1" applyAlignment="1">
      <alignment horizontal="right" vertical="center" wrapText="1"/>
    </xf>
    <xf numFmtId="10" fontId="7" fillId="0" borderId="0" xfId="17" applyNumberFormat="1" applyFont="1" applyFill="1" applyBorder="1" applyAlignment="1">
      <alignment vertical="center"/>
    </xf>
    <xf numFmtId="2" fontId="2" fillId="0" borderId="0" xfId="0" applyNumberFormat="1" applyFont="1" applyAlignment="1">
      <alignment vertical="center"/>
    </xf>
    <xf numFmtId="0" fontId="7" fillId="0" borderId="34" xfId="0" applyFont="1" applyBorder="1" applyAlignment="1">
      <alignment horizontal="right" vertical="center"/>
    </xf>
    <xf numFmtId="0" fontId="6" fillId="0" borderId="20" xfId="8" applyFont="1" applyBorder="1" applyAlignment="1">
      <alignment horizontal="left" vertical="center"/>
    </xf>
    <xf numFmtId="0" fontId="61" fillId="2" borderId="31" xfId="22" applyFont="1" applyFill="1" applyBorder="1" applyAlignment="1">
      <alignment vertical="center" wrapText="1"/>
    </xf>
    <xf numFmtId="0" fontId="61" fillId="0" borderId="0" xfId="22" applyFont="1" applyAlignment="1">
      <alignment vertical="center" wrapText="1"/>
    </xf>
    <xf numFmtId="1" fontId="6" fillId="0" borderId="9" xfId="12" applyNumberFormat="1" applyBorder="1" applyAlignment="1">
      <alignment horizontal="center" vertical="center" wrapText="1"/>
    </xf>
    <xf numFmtId="4" fontId="6" fillId="0" borderId="10" xfId="12" applyNumberFormat="1" applyBorder="1" applyAlignment="1">
      <alignment horizontal="right" vertical="center" wrapText="1"/>
    </xf>
    <xf numFmtId="10" fontId="6" fillId="0" borderId="10" xfId="12" applyNumberFormat="1" applyBorder="1" applyAlignment="1">
      <alignment horizontal="right" vertical="center" wrapText="1"/>
    </xf>
    <xf numFmtId="3" fontId="6" fillId="0" borderId="10" xfId="12" applyNumberFormat="1" applyBorder="1" applyAlignment="1">
      <alignment horizontal="right" vertical="center" wrapText="1"/>
    </xf>
    <xf numFmtId="10" fontId="6" fillId="0" borderId="11" xfId="12" applyNumberFormat="1" applyBorder="1" applyAlignment="1">
      <alignment horizontal="right" vertical="center" wrapText="1"/>
    </xf>
    <xf numFmtId="10" fontId="6" fillId="0" borderId="0" xfId="12" applyNumberFormat="1" applyAlignment="1">
      <alignment horizontal="right" vertical="center" wrapText="1"/>
    </xf>
    <xf numFmtId="1" fontId="6" fillId="0" borderId="0" xfId="12" applyNumberFormat="1" applyAlignment="1">
      <alignment horizontal="center" vertical="center" wrapText="1"/>
    </xf>
    <xf numFmtId="4" fontId="6" fillId="0" borderId="0" xfId="12" applyNumberFormat="1" applyAlignment="1">
      <alignment horizontal="right" vertical="center" wrapText="1"/>
    </xf>
    <xf numFmtId="3" fontId="6" fillId="0" borderId="0" xfId="12" applyNumberFormat="1" applyAlignment="1">
      <alignment horizontal="right" vertical="center" wrapText="1"/>
    </xf>
    <xf numFmtId="0" fontId="7" fillId="0" borderId="23" xfId="0" applyFont="1" applyBorder="1" applyAlignment="1">
      <alignment vertical="center"/>
    </xf>
    <xf numFmtId="10" fontId="6" fillId="0" borderId="0" xfId="13" applyNumberFormat="1" applyAlignment="1">
      <alignment horizontal="right" vertical="center" wrapText="1"/>
    </xf>
    <xf numFmtId="3" fontId="6" fillId="0" borderId="0" xfId="13" applyNumberFormat="1" applyAlignment="1">
      <alignment horizontal="right" vertical="center" wrapText="1"/>
    </xf>
    <xf numFmtId="46" fontId="6" fillId="0" borderId="0" xfId="13" quotePrefix="1" applyNumberFormat="1" applyAlignment="1">
      <alignment horizontal="center" vertical="center" wrapText="1"/>
    </xf>
    <xf numFmtId="4" fontId="6" fillId="0" borderId="0" xfId="13" applyNumberFormat="1" applyAlignment="1">
      <alignment horizontal="right" vertical="center" wrapText="1"/>
    </xf>
    <xf numFmtId="0" fontId="61" fillId="2" borderId="27" xfId="22" applyFont="1" applyFill="1" applyBorder="1" applyAlignment="1">
      <alignment horizontal="right" vertical="center" wrapText="1"/>
    </xf>
    <xf numFmtId="0" fontId="61" fillId="2" borderId="28" xfId="20" applyFont="1" applyFill="1" applyBorder="1" applyAlignment="1">
      <alignment horizontal="right" vertical="center" wrapText="1"/>
    </xf>
    <xf numFmtId="46" fontId="6" fillId="0" borderId="9" xfId="13" applyNumberFormat="1" applyBorder="1" applyAlignment="1">
      <alignment horizontal="center" vertical="center" wrapText="1"/>
    </xf>
    <xf numFmtId="4" fontId="6" fillId="0" borderId="10" xfId="13" applyNumberFormat="1" applyBorder="1" applyAlignment="1">
      <alignment horizontal="right" vertical="center" wrapText="1"/>
    </xf>
    <xf numFmtId="10" fontId="6" fillId="0" borderId="10" xfId="13" applyNumberFormat="1" applyBorder="1" applyAlignment="1">
      <alignment horizontal="right" vertical="center" wrapText="1"/>
    </xf>
    <xf numFmtId="3" fontId="6" fillId="0" borderId="10" xfId="13" applyNumberFormat="1" applyBorder="1" applyAlignment="1">
      <alignment horizontal="right" vertical="center" wrapText="1"/>
    </xf>
    <xf numFmtId="10" fontId="6" fillId="0" borderId="11" xfId="13" applyNumberFormat="1" applyBorder="1" applyAlignment="1">
      <alignment horizontal="right" vertical="center" wrapText="1"/>
    </xf>
    <xf numFmtId="0" fontId="6" fillId="0" borderId="0" xfId="13" applyAlignment="1">
      <alignment horizontal="center" vertical="center" wrapText="1"/>
    </xf>
    <xf numFmtId="20" fontId="6" fillId="0" borderId="0" xfId="13" applyNumberFormat="1" applyAlignment="1">
      <alignment horizontal="center" vertical="center" wrapText="1"/>
    </xf>
    <xf numFmtId="14" fontId="6" fillId="0" borderId="0" xfId="13" applyNumberFormat="1" applyAlignment="1">
      <alignment horizontal="center" vertical="center" wrapText="1"/>
    </xf>
    <xf numFmtId="46" fontId="6" fillId="0" borderId="0" xfId="13" applyNumberFormat="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24" xfId="13" applyNumberFormat="1" applyFont="1" applyBorder="1" applyAlignment="1">
      <alignment horizontal="right" vertical="center" wrapText="1"/>
    </xf>
    <xf numFmtId="3" fontId="7" fillId="0" borderId="24" xfId="0" applyNumberFormat="1" applyFont="1" applyBorder="1" applyAlignment="1">
      <alignment horizontal="right" vertical="center"/>
    </xf>
    <xf numFmtId="10" fontId="7" fillId="0" borderId="25" xfId="17" applyNumberFormat="1" applyFont="1" applyBorder="1" applyAlignment="1">
      <alignment horizontal="right" vertical="center"/>
    </xf>
    <xf numFmtId="10" fontId="23" fillId="0" borderId="0" xfId="13" applyNumberFormat="1" applyFont="1" applyAlignment="1">
      <alignment horizontal="right" vertical="center" wrapText="1"/>
    </xf>
    <xf numFmtId="0" fontId="7" fillId="0" borderId="33" xfId="0" applyFont="1" applyBorder="1" applyAlignment="1">
      <alignment vertical="center"/>
    </xf>
    <xf numFmtId="4" fontId="7" fillId="0" borderId="33" xfId="0" applyNumberFormat="1" applyFont="1" applyBorder="1" applyAlignment="1">
      <alignment vertical="center"/>
    </xf>
    <xf numFmtId="0" fontId="68" fillId="0" borderId="0" xfId="0" applyFont="1" applyAlignment="1">
      <alignment horizontal="left" vertical="center"/>
    </xf>
    <xf numFmtId="0" fontId="6" fillId="0" borderId="9" xfId="16" applyBorder="1" applyAlignment="1">
      <alignment horizontal="center" vertical="center" wrapText="1"/>
    </xf>
    <xf numFmtId="4" fontId="6" fillId="0" borderId="10" xfId="16" applyNumberFormat="1" applyBorder="1" applyAlignment="1">
      <alignment horizontal="right" vertical="center" wrapText="1"/>
    </xf>
    <xf numFmtId="10" fontId="6" fillId="0" borderId="10" xfId="16" applyNumberFormat="1" applyBorder="1" applyAlignment="1">
      <alignment horizontal="right" vertical="center" wrapText="1"/>
    </xf>
    <xf numFmtId="3" fontId="6" fillId="0" borderId="10" xfId="16" applyNumberFormat="1" applyBorder="1" applyAlignment="1">
      <alignment horizontal="right" vertical="center" wrapText="1"/>
    </xf>
    <xf numFmtId="10" fontId="6" fillId="0" borderId="11" xfId="16" applyNumberFormat="1" applyBorder="1" applyAlignment="1">
      <alignment horizontal="right" vertical="center" wrapText="1"/>
    </xf>
    <xf numFmtId="0" fontId="6" fillId="0" borderId="0" xfId="16" applyAlignment="1">
      <alignment horizontal="left" vertical="center" wrapText="1"/>
    </xf>
    <xf numFmtId="4" fontId="6" fillId="0" borderId="0" xfId="16" applyNumberFormat="1" applyAlignment="1">
      <alignment horizontal="right" vertical="center" wrapText="1"/>
    </xf>
    <xf numFmtId="10" fontId="6" fillId="0" borderId="0" xfId="16" applyNumberFormat="1" applyAlignment="1">
      <alignment horizontal="right" vertical="center" wrapText="1"/>
    </xf>
    <xf numFmtId="3" fontId="6" fillId="0" borderId="0" xfId="16" applyNumberFormat="1" applyAlignment="1">
      <alignment horizontal="right" vertical="center" wrapText="1"/>
    </xf>
    <xf numFmtId="0" fontId="6" fillId="0" borderId="0" xfId="19" applyFont="1" applyAlignment="1">
      <alignment horizontal="center" vertical="center" wrapText="1"/>
    </xf>
    <xf numFmtId="20" fontId="6" fillId="0" borderId="9" xfId="16" applyNumberFormat="1" applyBorder="1" applyAlignment="1">
      <alignment horizontal="center" vertical="center" wrapText="1"/>
    </xf>
    <xf numFmtId="4" fontId="6" fillId="0" borderId="0" xfId="14" applyNumberFormat="1" applyFont="1" applyAlignment="1">
      <alignment horizontal="right" vertical="center" wrapText="1"/>
    </xf>
    <xf numFmtId="20" fontId="6" fillId="0" borderId="0" xfId="16" applyNumberFormat="1" applyAlignment="1">
      <alignment horizontal="left" vertical="center" wrapText="1"/>
    </xf>
    <xf numFmtId="3" fontId="7" fillId="0" borderId="24" xfId="0" applyNumberFormat="1" applyFont="1" applyBorder="1" applyAlignment="1">
      <alignment horizontal="right" vertical="center" wrapText="1"/>
    </xf>
    <xf numFmtId="10" fontId="7" fillId="0" borderId="0" xfId="0" applyNumberFormat="1" applyFont="1" applyAlignment="1">
      <alignment vertical="center"/>
    </xf>
    <xf numFmtId="3" fontId="7" fillId="0" borderId="0" xfId="0" applyNumberFormat="1" applyFont="1" applyAlignment="1">
      <alignment horizontal="right" vertical="center" wrapText="1"/>
    </xf>
    <xf numFmtId="3" fontId="2" fillId="0" borderId="0" xfId="0" applyNumberFormat="1" applyFont="1" applyAlignment="1">
      <alignment vertical="center"/>
    </xf>
    <xf numFmtId="0" fontId="6" fillId="0" borderId="0" xfId="15" applyFont="1" applyAlignment="1">
      <alignment horizontal="center" vertical="center"/>
    </xf>
    <xf numFmtId="0" fontId="6" fillId="0" borderId="0" xfId="8" applyFont="1" applyAlignment="1">
      <alignment horizontal="right" vertical="center"/>
    </xf>
    <xf numFmtId="10" fontId="2" fillId="0" borderId="0" xfId="0" applyNumberFormat="1" applyFont="1" applyAlignment="1">
      <alignment vertical="center"/>
    </xf>
    <xf numFmtId="4" fontId="2" fillId="0" borderId="0" xfId="0" applyNumberFormat="1" applyFont="1" applyAlignment="1">
      <alignment horizontal="right" vertical="center"/>
    </xf>
    <xf numFmtId="0" fontId="6" fillId="0" borderId="0" xfId="15" applyFont="1" applyAlignment="1">
      <alignment horizontal="right" vertical="center" wrapText="1"/>
    </xf>
    <xf numFmtId="4" fontId="6" fillId="0" borderId="0" xfId="16" applyNumberFormat="1" applyAlignment="1">
      <alignment horizontal="center" vertical="center" wrapText="1"/>
    </xf>
    <xf numFmtId="0" fontId="6" fillId="0" borderId="9" xfId="11" applyBorder="1" applyAlignment="1">
      <alignment vertical="center" wrapText="1"/>
    </xf>
    <xf numFmtId="4" fontId="6" fillId="0" borderId="10" xfId="11" applyNumberFormat="1" applyBorder="1" applyAlignment="1">
      <alignment horizontal="right" vertical="center" wrapText="1"/>
    </xf>
    <xf numFmtId="10" fontId="6" fillId="0" borderId="10" xfId="11" applyNumberFormat="1" applyBorder="1" applyAlignment="1">
      <alignment horizontal="right" vertical="center" wrapText="1"/>
    </xf>
    <xf numFmtId="3" fontId="6" fillId="0" borderId="10" xfId="11" applyNumberFormat="1" applyBorder="1" applyAlignment="1">
      <alignment horizontal="right" vertical="center" wrapText="1"/>
    </xf>
    <xf numFmtId="10" fontId="6" fillId="0" borderId="11" xfId="11" applyNumberFormat="1" applyBorder="1" applyAlignment="1">
      <alignment horizontal="right" vertical="center" wrapText="1"/>
    </xf>
    <xf numFmtId="0" fontId="6" fillId="0" borderId="0" xfId="11" applyAlignment="1">
      <alignment vertical="center" wrapText="1"/>
    </xf>
    <xf numFmtId="4" fontId="6" fillId="0" borderId="0" xfId="11" applyNumberFormat="1" applyAlignment="1">
      <alignment horizontal="right" vertical="center" wrapText="1"/>
    </xf>
    <xf numFmtId="10" fontId="6" fillId="0" borderId="0" xfId="11" applyNumberFormat="1" applyAlignment="1">
      <alignment horizontal="right" vertical="center" wrapText="1"/>
    </xf>
    <xf numFmtId="3" fontId="6" fillId="0" borderId="0" xfId="11" applyNumberFormat="1" applyAlignment="1">
      <alignment horizontal="right" vertical="center" wrapText="1"/>
    </xf>
    <xf numFmtId="0" fontId="6" fillId="0" borderId="15" xfId="11" applyBorder="1" applyAlignment="1">
      <alignment vertical="center" wrapText="1"/>
    </xf>
    <xf numFmtId="4" fontId="6" fillId="0" borderId="16" xfId="11" applyNumberFormat="1" applyBorder="1" applyAlignment="1">
      <alignment horizontal="right" vertical="center" wrapText="1"/>
    </xf>
    <xf numFmtId="3" fontId="6" fillId="0" borderId="16" xfId="11" applyNumberFormat="1" applyBorder="1" applyAlignment="1">
      <alignment horizontal="right" vertical="center" wrapText="1"/>
    </xf>
    <xf numFmtId="10" fontId="6" fillId="0" borderId="13" xfId="11" applyNumberFormat="1" applyBorder="1" applyAlignment="1">
      <alignment horizontal="right" vertical="center" wrapText="1"/>
    </xf>
    <xf numFmtId="0" fontId="23" fillId="0" borderId="23" xfId="0" applyFont="1" applyBorder="1" applyAlignment="1">
      <alignment vertical="center"/>
    </xf>
    <xf numFmtId="0" fontId="23" fillId="0" borderId="0" xfId="0" applyFont="1" applyAlignment="1">
      <alignment vertical="center"/>
    </xf>
    <xf numFmtId="4" fontId="23" fillId="0" borderId="0" xfId="0" applyNumberFormat="1" applyFont="1" applyAlignment="1">
      <alignment vertical="center"/>
    </xf>
    <xf numFmtId="10" fontId="23" fillId="0" borderId="0" xfId="17" applyNumberFormat="1" applyFont="1" applyFill="1" applyBorder="1" applyAlignment="1">
      <alignment vertical="center"/>
    </xf>
    <xf numFmtId="3" fontId="23" fillId="0" borderId="0" xfId="0" applyNumberFormat="1" applyFont="1" applyAlignment="1">
      <alignment vertical="center"/>
    </xf>
    <xf numFmtId="0" fontId="6" fillId="0" borderId="19" xfId="11" applyBorder="1" applyAlignment="1">
      <alignment vertical="center" wrapText="1"/>
    </xf>
    <xf numFmtId="10" fontId="6" fillId="0" borderId="16" xfId="11" applyNumberFormat="1" applyBorder="1" applyAlignment="1">
      <alignment horizontal="right" vertical="center" wrapText="1"/>
    </xf>
    <xf numFmtId="10" fontId="6" fillId="0" borderId="17" xfId="11" applyNumberFormat="1" applyBorder="1" applyAlignment="1">
      <alignment horizontal="right" vertical="center" wrapText="1"/>
    </xf>
    <xf numFmtId="0" fontId="23" fillId="0" borderId="29" xfId="0" applyFont="1" applyBorder="1" applyAlignment="1">
      <alignment vertical="center"/>
    </xf>
    <xf numFmtId="10" fontId="23" fillId="0" borderId="0" xfId="17" applyNumberFormat="1" applyFont="1" applyBorder="1" applyAlignment="1">
      <alignment vertical="center"/>
    </xf>
    <xf numFmtId="10" fontId="23" fillId="0" borderId="0" xfId="0" applyNumberFormat="1" applyFont="1" applyAlignment="1">
      <alignment vertical="center"/>
    </xf>
    <xf numFmtId="0" fontId="6" fillId="0" borderId="9" xfId="5" applyBorder="1" applyAlignment="1">
      <alignment vertical="center" wrapText="1"/>
    </xf>
    <xf numFmtId="4" fontId="6" fillId="0" borderId="10" xfId="5" applyNumberFormat="1" applyBorder="1" applyAlignment="1">
      <alignment horizontal="right" vertical="center" wrapText="1"/>
    </xf>
    <xf numFmtId="10" fontId="6" fillId="0" borderId="10" xfId="5" applyNumberFormat="1" applyBorder="1" applyAlignment="1">
      <alignment horizontal="right" vertical="center" wrapText="1"/>
    </xf>
    <xf numFmtId="3" fontId="6" fillId="0" borderId="10" xfId="5" applyNumberFormat="1" applyBorder="1" applyAlignment="1">
      <alignment horizontal="right" vertical="center" wrapText="1"/>
    </xf>
    <xf numFmtId="10" fontId="6" fillId="0" borderId="11" xfId="5" applyNumberFormat="1" applyBorder="1" applyAlignment="1">
      <alignment horizontal="right" vertical="center" wrapText="1"/>
    </xf>
    <xf numFmtId="0" fontId="6" fillId="0" borderId="0" xfId="5" applyAlignment="1">
      <alignment vertical="center" wrapText="1"/>
    </xf>
    <xf numFmtId="4" fontId="6" fillId="0" borderId="0" xfId="5" applyNumberFormat="1" applyAlignment="1">
      <alignment horizontal="right" vertical="center" wrapText="1"/>
    </xf>
    <xf numFmtId="10" fontId="6" fillId="0" borderId="0" xfId="5" applyNumberFormat="1" applyAlignment="1">
      <alignment horizontal="right" vertical="center" wrapText="1"/>
    </xf>
    <xf numFmtId="3" fontId="6" fillId="0" borderId="0" xfId="5" applyNumberFormat="1" applyAlignment="1">
      <alignment horizontal="right" vertical="center" wrapText="1"/>
    </xf>
    <xf numFmtId="0" fontId="6" fillId="0" borderId="15" xfId="5" applyBorder="1" applyAlignment="1">
      <alignment vertical="center" wrapText="1"/>
    </xf>
    <xf numFmtId="4" fontId="6" fillId="0" borderId="16" xfId="5" applyNumberFormat="1" applyBorder="1" applyAlignment="1">
      <alignment horizontal="right" vertical="center" wrapText="1"/>
    </xf>
    <xf numFmtId="3" fontId="6" fillId="0" borderId="16" xfId="5" applyNumberFormat="1" applyBorder="1" applyAlignment="1">
      <alignment horizontal="right" vertical="center" wrapText="1"/>
    </xf>
    <xf numFmtId="10" fontId="6" fillId="0" borderId="0" xfId="0" applyNumberFormat="1" applyFont="1" applyAlignment="1">
      <alignment vertical="center"/>
    </xf>
    <xf numFmtId="0" fontId="6" fillId="0" borderId="0" xfId="6" applyAlignment="1">
      <alignment vertical="center" wrapText="1"/>
    </xf>
    <xf numFmtId="4" fontId="6" fillId="0" borderId="0" xfId="6" applyNumberFormat="1" applyAlignment="1">
      <alignment horizontal="right" vertical="center" wrapText="1"/>
    </xf>
    <xf numFmtId="10" fontId="6" fillId="0" borderId="0" xfId="6" applyNumberFormat="1" applyAlignment="1">
      <alignment horizontal="right" vertical="center" wrapText="1"/>
    </xf>
    <xf numFmtId="0" fontId="6" fillId="0" borderId="0" xfId="6" applyAlignment="1">
      <alignment horizontal="right" vertical="center" wrapText="1"/>
    </xf>
    <xf numFmtId="0" fontId="6" fillId="0" borderId="9" xfId="6" applyBorder="1" applyAlignment="1">
      <alignment vertical="center" wrapText="1"/>
    </xf>
    <xf numFmtId="4" fontId="6" fillId="0" borderId="10" xfId="6" applyNumberFormat="1" applyBorder="1" applyAlignment="1">
      <alignment horizontal="right" vertical="center" wrapText="1"/>
    </xf>
    <xf numFmtId="10" fontId="6" fillId="0" borderId="10" xfId="6" applyNumberFormat="1" applyBorder="1" applyAlignment="1">
      <alignment horizontal="right" vertical="center" wrapText="1"/>
    </xf>
    <xf numFmtId="3" fontId="6" fillId="0" borderId="10" xfId="6" applyNumberFormat="1" applyBorder="1" applyAlignment="1">
      <alignment horizontal="right" vertical="center" wrapText="1"/>
    </xf>
    <xf numFmtId="10" fontId="6" fillId="0" borderId="11" xfId="6" applyNumberFormat="1" applyBorder="1" applyAlignment="1">
      <alignment horizontal="right" vertical="center" wrapText="1"/>
    </xf>
    <xf numFmtId="167" fontId="6" fillId="0" borderId="0" xfId="6" applyNumberFormat="1" applyAlignment="1">
      <alignment horizontal="right" vertical="center" wrapText="1"/>
    </xf>
    <xf numFmtId="3" fontId="6" fillId="0" borderId="0" xfId="6" applyNumberFormat="1" applyAlignment="1">
      <alignment horizontal="right" vertical="center" wrapText="1"/>
    </xf>
    <xf numFmtId="0" fontId="6" fillId="0" borderId="15" xfId="6" applyBorder="1" applyAlignment="1">
      <alignment vertical="center" wrapText="1"/>
    </xf>
    <xf numFmtId="4" fontId="6" fillId="0" borderId="16" xfId="6" applyNumberFormat="1" applyBorder="1" applyAlignment="1">
      <alignment horizontal="right" vertical="center" wrapText="1"/>
    </xf>
    <xf numFmtId="10" fontId="6" fillId="0" borderId="16" xfId="6" applyNumberFormat="1" applyBorder="1" applyAlignment="1">
      <alignment horizontal="right" vertical="center" wrapText="1"/>
    </xf>
    <xf numFmtId="3" fontId="6" fillId="0" borderId="16" xfId="6" applyNumberFormat="1" applyBorder="1" applyAlignment="1">
      <alignment horizontal="right" vertical="center" wrapText="1"/>
    </xf>
    <xf numFmtId="10" fontId="6" fillId="0" borderId="17" xfId="6" applyNumberFormat="1" applyBorder="1" applyAlignment="1">
      <alignment horizontal="right" vertical="center" wrapText="1"/>
    </xf>
    <xf numFmtId="167" fontId="7" fillId="0" borderId="0" xfId="0" applyNumberFormat="1" applyFont="1" applyAlignment="1">
      <alignment vertical="center"/>
    </xf>
    <xf numFmtId="0" fontId="6" fillId="0" borderId="0" xfId="7" applyFont="1" applyAlignment="1">
      <alignment horizontal="left" vertical="center" wrapText="1"/>
    </xf>
    <xf numFmtId="4" fontId="6" fillId="0" borderId="0" xfId="18" applyNumberFormat="1" applyFont="1" applyAlignment="1">
      <alignment horizontal="right" vertical="center" wrapText="1"/>
    </xf>
    <xf numFmtId="10" fontId="6" fillId="0" borderId="0" xfId="19" applyNumberFormat="1" applyFont="1" applyAlignment="1">
      <alignment horizontal="right" vertical="center" wrapText="1"/>
    </xf>
    <xf numFmtId="3" fontId="6" fillId="0" borderId="0" xfId="18" applyNumberFormat="1" applyFont="1" applyAlignment="1">
      <alignment horizontal="right" vertical="center" wrapText="1"/>
    </xf>
    <xf numFmtId="0" fontId="61" fillId="2" borderId="20" xfId="19" applyFont="1" applyFill="1" applyBorder="1" applyAlignment="1">
      <alignment horizontal="left" vertical="center" wrapText="1"/>
    </xf>
    <xf numFmtId="0" fontId="61" fillId="2" borderId="21" xfId="19" applyFont="1" applyFill="1" applyBorder="1" applyAlignment="1">
      <alignment horizontal="right" vertical="center" wrapText="1"/>
    </xf>
    <xf numFmtId="0" fontId="61" fillId="2" borderId="22" xfId="20" applyFont="1" applyFill="1" applyBorder="1" applyAlignment="1">
      <alignment horizontal="right" vertical="center" wrapText="1"/>
    </xf>
    <xf numFmtId="4" fontId="6" fillId="0" borderId="10" xfId="4" applyNumberFormat="1" applyBorder="1" applyAlignment="1">
      <alignment horizontal="right" vertical="center" wrapText="1"/>
    </xf>
    <xf numFmtId="10" fontId="6" fillId="0" borderId="10" xfId="4" applyNumberFormat="1" applyBorder="1" applyAlignment="1">
      <alignment horizontal="right" vertical="center" wrapText="1"/>
    </xf>
    <xf numFmtId="3" fontId="6" fillId="0" borderId="10" xfId="17" applyNumberFormat="1" applyFont="1" applyFill="1" applyBorder="1" applyAlignment="1">
      <alignment horizontal="right" vertical="center" wrapText="1"/>
    </xf>
    <xf numFmtId="10" fontId="2" fillId="0" borderId="11" xfId="0" applyNumberFormat="1" applyFont="1" applyBorder="1" applyAlignment="1">
      <alignment vertical="center"/>
    </xf>
    <xf numFmtId="0" fontId="63" fillId="2" borderId="21" xfId="18" applyFont="1" applyFill="1" applyBorder="1" applyAlignment="1">
      <alignment horizontal="right" vertical="center" wrapText="1"/>
    </xf>
    <xf numFmtId="0" fontId="61" fillId="0" borderId="0" xfId="18" applyFont="1" applyAlignment="1">
      <alignment horizontal="left" vertical="center" wrapText="1"/>
    </xf>
    <xf numFmtId="0" fontId="2" fillId="0" borderId="9" xfId="0" applyFont="1" applyBorder="1" applyAlignment="1">
      <alignment horizontal="center" vertical="center"/>
    </xf>
    <xf numFmtId="168" fontId="6" fillId="0" borderId="10" xfId="17" applyNumberFormat="1" applyFont="1" applyFill="1" applyBorder="1" applyAlignment="1">
      <alignment horizontal="right" vertical="center" wrapText="1"/>
    </xf>
    <xf numFmtId="0" fontId="2" fillId="0" borderId="11" xfId="0" applyFont="1" applyBorder="1" applyAlignment="1">
      <alignment vertical="center"/>
    </xf>
    <xf numFmtId="0" fontId="2" fillId="0" borderId="40" xfId="0" applyFont="1" applyBorder="1" applyAlignment="1">
      <alignment horizontal="center" vertical="center"/>
    </xf>
    <xf numFmtId="4" fontId="6" fillId="0" borderId="12" xfId="4" applyNumberFormat="1" applyBorder="1" applyAlignment="1">
      <alignment horizontal="right" vertical="center" wrapText="1"/>
    </xf>
    <xf numFmtId="168" fontId="6" fillId="0" borderId="12" xfId="17" applyNumberFormat="1" applyFont="1" applyFill="1" applyBorder="1" applyAlignment="1">
      <alignment horizontal="right" vertical="center" wrapText="1"/>
    </xf>
    <xf numFmtId="0" fontId="2" fillId="0" borderId="13" xfId="0" applyFont="1" applyBorder="1" applyAlignment="1">
      <alignment vertical="center"/>
    </xf>
    <xf numFmtId="0" fontId="2" fillId="0" borderId="14" xfId="0" applyFont="1" applyBorder="1" applyAlignment="1">
      <alignment vertical="center"/>
    </xf>
    <xf numFmtId="168" fontId="23" fillId="0" borderId="0" xfId="17" applyNumberFormat="1" applyFont="1" applyFill="1" applyBorder="1" applyAlignment="1">
      <alignment horizontal="right" vertical="center" wrapText="1"/>
    </xf>
    <xf numFmtId="0" fontId="61" fillId="2" borderId="21" xfId="20" applyFont="1" applyFill="1" applyBorder="1" applyAlignment="1">
      <alignment horizontal="right" vertical="center" wrapText="1"/>
    </xf>
    <xf numFmtId="0" fontId="6" fillId="0" borderId="9" xfId="9" applyBorder="1" applyAlignment="1">
      <alignment horizontal="center" vertical="center" wrapText="1"/>
    </xf>
    <xf numFmtId="4" fontId="6" fillId="0" borderId="10" xfId="9" applyNumberFormat="1" applyBorder="1" applyAlignment="1">
      <alignment horizontal="right" vertical="center" wrapText="1"/>
    </xf>
    <xf numFmtId="10" fontId="6" fillId="0" borderId="10" xfId="9" applyNumberFormat="1" applyBorder="1" applyAlignment="1">
      <alignment horizontal="right" vertical="center" wrapText="1"/>
    </xf>
    <xf numFmtId="3" fontId="6" fillId="0" borderId="10" xfId="9" applyNumberFormat="1" applyBorder="1" applyAlignment="1">
      <alignment horizontal="right" vertical="center" wrapText="1"/>
    </xf>
    <xf numFmtId="10" fontId="6" fillId="0" borderId="11" xfId="9" applyNumberFormat="1" applyBorder="1" applyAlignment="1">
      <alignment horizontal="right" vertical="center" wrapText="1"/>
    </xf>
    <xf numFmtId="0" fontId="61" fillId="2" borderId="20" xfId="20" applyFont="1" applyFill="1" applyBorder="1" applyAlignment="1">
      <alignment horizontal="left" vertical="center" wrapText="1"/>
    </xf>
    <xf numFmtId="0" fontId="23" fillId="0" borderId="23" xfId="9" applyFont="1" applyBorder="1" applyAlignment="1">
      <alignment vertical="center" wrapText="1"/>
    </xf>
    <xf numFmtId="4" fontId="23" fillId="0" borderId="24" xfId="9" applyNumberFormat="1" applyFont="1" applyBorder="1" applyAlignment="1">
      <alignment horizontal="right" vertical="center" wrapText="1"/>
    </xf>
    <xf numFmtId="10" fontId="23" fillId="0" borderId="24" xfId="9" applyNumberFormat="1" applyFont="1" applyBorder="1" applyAlignment="1">
      <alignment horizontal="right" vertical="center" wrapText="1"/>
    </xf>
    <xf numFmtId="3" fontId="23" fillId="0" borderId="24" xfId="9" applyNumberFormat="1" applyFont="1" applyBorder="1" applyAlignment="1">
      <alignment horizontal="right" vertical="center" wrapText="1"/>
    </xf>
    <xf numFmtId="10" fontId="23" fillId="0" borderId="25" xfId="9" applyNumberFormat="1" applyFont="1" applyBorder="1" applyAlignment="1">
      <alignment horizontal="right" vertical="center" wrapText="1"/>
    </xf>
    <xf numFmtId="0" fontId="23" fillId="0" borderId="0" xfId="9" applyFont="1" applyAlignment="1">
      <alignment vertical="center" wrapText="1"/>
    </xf>
    <xf numFmtId="4" fontId="23" fillId="0" borderId="0" xfId="9" applyNumberFormat="1" applyFont="1" applyAlignment="1">
      <alignment horizontal="right" vertical="center" wrapText="1"/>
    </xf>
    <xf numFmtId="10" fontId="23" fillId="0" borderId="0" xfId="9" applyNumberFormat="1" applyFont="1" applyAlignment="1">
      <alignment horizontal="right" vertical="center" wrapText="1"/>
    </xf>
    <xf numFmtId="3" fontId="23" fillId="0" borderId="0" xfId="9" applyNumberFormat="1" applyFont="1" applyAlignment="1">
      <alignment horizontal="right" vertical="center" wrapText="1"/>
    </xf>
    <xf numFmtId="0" fontId="56" fillId="0" borderId="0" xfId="23" applyFont="1" applyAlignment="1">
      <alignment horizontal="left" vertical="center"/>
    </xf>
    <xf numFmtId="164" fontId="2" fillId="2" borderId="0" xfId="23" applyNumberFormat="1" applyFill="1" applyAlignment="1">
      <alignment horizontal="center" vertical="center"/>
    </xf>
    <xf numFmtId="0" fontId="2" fillId="2" borderId="6" xfId="23" applyFill="1" applyBorder="1" applyAlignment="1">
      <alignment horizontal="right" vertical="center"/>
    </xf>
    <xf numFmtId="0" fontId="2" fillId="2" borderId="7" xfId="23" applyFill="1" applyBorder="1" applyAlignment="1">
      <alignment horizontal="center" vertical="center"/>
    </xf>
    <xf numFmtId="166" fontId="2" fillId="0" borderId="0" xfId="23" applyNumberFormat="1" applyAlignment="1">
      <alignment vertical="center"/>
    </xf>
    <xf numFmtId="0" fontId="9" fillId="0" borderId="0" xfId="23" applyFont="1" applyAlignment="1">
      <alignment horizontal="right" vertical="center"/>
    </xf>
    <xf numFmtId="0" fontId="70" fillId="0" borderId="0" xfId="23" applyFont="1" applyAlignment="1">
      <alignment horizontal="left" vertical="center"/>
    </xf>
    <xf numFmtId="0" fontId="7" fillId="0" borderId="1" xfId="23" applyFont="1" applyBorder="1" applyAlignment="1">
      <alignment vertical="center"/>
    </xf>
    <xf numFmtId="0" fontId="11" fillId="0" borderId="2" xfId="23" applyFont="1" applyBorder="1" applyAlignment="1">
      <alignment horizontal="right" vertical="center"/>
    </xf>
    <xf numFmtId="0" fontId="11" fillId="0" borderId="3" xfId="23" applyFont="1" applyBorder="1" applyAlignment="1">
      <alignment horizontal="right" vertical="center"/>
    </xf>
    <xf numFmtId="0" fontId="11" fillId="0" borderId="0" xfId="23" applyFont="1" applyAlignment="1">
      <alignment horizontal="right" vertical="center"/>
    </xf>
    <xf numFmtId="174" fontId="2" fillId="0" borderId="0" xfId="23" applyNumberFormat="1" applyAlignment="1">
      <alignment horizontal="center" vertical="center"/>
    </xf>
    <xf numFmtId="0" fontId="3" fillId="0" borderId="5" xfId="23" applyFont="1" applyBorder="1" applyAlignment="1">
      <alignment horizontal="right" vertical="center"/>
    </xf>
    <xf numFmtId="0" fontId="11" fillId="0" borderId="0" xfId="23" applyFont="1" applyAlignment="1">
      <alignment horizontal="center" vertical="center"/>
    </xf>
    <xf numFmtId="10" fontId="2" fillId="0" borderId="0" xfId="23" applyNumberFormat="1" applyAlignment="1">
      <alignment horizontal="center" vertical="center"/>
    </xf>
    <xf numFmtId="167" fontId="2" fillId="0" borderId="0" xfId="23" applyNumberFormat="1" applyAlignment="1">
      <alignment vertical="center"/>
    </xf>
    <xf numFmtId="167" fontId="2" fillId="0" borderId="5" xfId="23" applyNumberFormat="1" applyBorder="1" applyAlignment="1">
      <alignment vertical="center"/>
    </xf>
    <xf numFmtId="0" fontId="71" fillId="0" borderId="0" xfId="23" applyFont="1" applyAlignment="1">
      <alignment horizontal="left" vertical="center"/>
    </xf>
    <xf numFmtId="0" fontId="72" fillId="0" borderId="0" xfId="23" applyFont="1" applyAlignment="1">
      <alignment horizontal="right" vertical="center"/>
    </xf>
    <xf numFmtId="166" fontId="2" fillId="0" borderId="0" xfId="23" applyNumberFormat="1" applyAlignment="1">
      <alignment horizontal="center" vertical="center"/>
    </xf>
    <xf numFmtId="178" fontId="2" fillId="0" borderId="0" xfId="23" applyNumberFormat="1" applyAlignment="1">
      <alignment vertical="center"/>
    </xf>
    <xf numFmtId="178" fontId="2" fillId="0" borderId="5" xfId="23" applyNumberFormat="1" applyBorder="1" applyAlignment="1">
      <alignment vertical="center"/>
    </xf>
    <xf numFmtId="166" fontId="2" fillId="0" borderId="5" xfId="23" applyNumberFormat="1" applyBorder="1" applyAlignment="1">
      <alignment vertical="center"/>
    </xf>
    <xf numFmtId="3" fontId="2" fillId="0" borderId="7" xfId="23" applyNumberFormat="1" applyBorder="1" applyAlignment="1">
      <alignment vertical="center"/>
    </xf>
    <xf numFmtId="3" fontId="2" fillId="0" borderId="0" xfId="23" applyNumberFormat="1" applyAlignment="1">
      <alignment horizontal="center" vertical="center"/>
    </xf>
    <xf numFmtId="3" fontId="2" fillId="0" borderId="8" xfId="23" applyNumberFormat="1" applyBorder="1" applyAlignment="1">
      <alignment vertical="center"/>
    </xf>
    <xf numFmtId="3" fontId="2" fillId="0" borderId="2" xfId="23" applyNumberFormat="1" applyBorder="1" applyAlignment="1">
      <alignment vertical="center"/>
    </xf>
    <xf numFmtId="3" fontId="2" fillId="0" borderId="3" xfId="23" applyNumberFormat="1" applyBorder="1" applyAlignment="1">
      <alignment vertical="center"/>
    </xf>
    <xf numFmtId="0" fontId="7" fillId="0" borderId="4" xfId="23" applyFont="1" applyBorder="1" applyAlignment="1">
      <alignment vertical="center"/>
    </xf>
    <xf numFmtId="184" fontId="2" fillId="0" borderId="0" xfId="23" applyNumberFormat="1" applyAlignment="1">
      <alignment vertical="center"/>
    </xf>
    <xf numFmtId="167" fontId="2" fillId="0" borderId="0" xfId="17" applyNumberFormat="1" applyFont="1" applyFill="1" applyBorder="1" applyAlignment="1">
      <alignment vertical="center"/>
    </xf>
    <xf numFmtId="167" fontId="2" fillId="0" borderId="5" xfId="17" applyNumberFormat="1" applyFont="1" applyFill="1" applyBorder="1" applyAlignment="1">
      <alignment vertical="center"/>
    </xf>
    <xf numFmtId="2" fontId="2" fillId="0" borderId="7" xfId="23" applyNumberFormat="1" applyBorder="1" applyAlignment="1">
      <alignment vertical="center"/>
    </xf>
    <xf numFmtId="2" fontId="2" fillId="0" borderId="8" xfId="23" applyNumberFormat="1" applyBorder="1" applyAlignment="1">
      <alignment vertical="center"/>
    </xf>
    <xf numFmtId="167" fontId="2" fillId="0" borderId="2" xfId="23" applyNumberFormat="1" applyBorder="1" applyAlignment="1">
      <alignment horizontal="center" vertical="center"/>
    </xf>
    <xf numFmtId="169" fontId="2" fillId="0" borderId="3" xfId="23" applyNumberFormat="1" applyBorder="1" applyAlignment="1">
      <alignment vertical="center"/>
    </xf>
    <xf numFmtId="1" fontId="2" fillId="0" borderId="0" xfId="23" applyNumberFormat="1" applyAlignment="1">
      <alignment vertical="center"/>
    </xf>
    <xf numFmtId="169" fontId="2" fillId="0" borderId="5" xfId="23" applyNumberFormat="1" applyBorder="1" applyAlignment="1">
      <alignment vertical="center"/>
    </xf>
    <xf numFmtId="169" fontId="2" fillId="0" borderId="0" xfId="23" applyNumberFormat="1" applyAlignment="1">
      <alignment horizontal="right" vertical="center"/>
    </xf>
    <xf numFmtId="169" fontId="2" fillId="0" borderId="0" xfId="23" applyNumberFormat="1" applyAlignment="1">
      <alignment vertical="center"/>
    </xf>
    <xf numFmtId="10" fontId="2" fillId="0" borderId="0" xfId="23" applyNumberFormat="1" applyAlignment="1">
      <alignment vertical="center"/>
    </xf>
    <xf numFmtId="184" fontId="7" fillId="0" borderId="0" xfId="23" applyNumberFormat="1" applyFont="1" applyAlignment="1">
      <alignment vertical="center"/>
    </xf>
    <xf numFmtId="166" fontId="7" fillId="0" borderId="5" xfId="23" applyNumberFormat="1" applyFont="1" applyBorder="1" applyAlignment="1">
      <alignment vertical="center"/>
    </xf>
    <xf numFmtId="166" fontId="7" fillId="0" borderId="0" xfId="23" applyNumberFormat="1" applyFont="1" applyAlignment="1">
      <alignment vertical="center"/>
    </xf>
    <xf numFmtId="184" fontId="7" fillId="0" borderId="7" xfId="23" applyNumberFormat="1" applyFont="1" applyBorder="1" applyAlignment="1">
      <alignment vertical="center"/>
    </xf>
    <xf numFmtId="184" fontId="2" fillId="0" borderId="7" xfId="23" applyNumberFormat="1" applyBorder="1" applyAlignment="1">
      <alignment vertical="center"/>
    </xf>
    <xf numFmtId="166" fontId="2" fillId="0" borderId="8" xfId="23" applyNumberFormat="1" applyBorder="1" applyAlignment="1">
      <alignment vertical="center"/>
    </xf>
    <xf numFmtId="166" fontId="7" fillId="0" borderId="2" xfId="23" applyNumberFormat="1" applyFont="1" applyBorder="1" applyAlignment="1">
      <alignment vertical="center"/>
    </xf>
    <xf numFmtId="167" fontId="2" fillId="0" borderId="2" xfId="23" applyNumberFormat="1" applyBorder="1" applyAlignment="1">
      <alignment vertical="center"/>
    </xf>
    <xf numFmtId="10" fontId="2" fillId="0" borderId="2" xfId="23" applyNumberFormat="1" applyBorder="1" applyAlignment="1">
      <alignment vertical="center"/>
    </xf>
    <xf numFmtId="10" fontId="2" fillId="0" borderId="3" xfId="23" applyNumberFormat="1" applyBorder="1" applyAlignment="1">
      <alignment vertical="center"/>
    </xf>
    <xf numFmtId="167" fontId="2" fillId="0" borderId="7" xfId="23" applyNumberFormat="1" applyBorder="1" applyAlignment="1">
      <alignment vertical="center"/>
    </xf>
    <xf numFmtId="10" fontId="2" fillId="0" borderId="7" xfId="23" applyNumberFormat="1" applyBorder="1" applyAlignment="1">
      <alignment vertical="center"/>
    </xf>
    <xf numFmtId="10" fontId="2" fillId="0" borderId="8" xfId="23" applyNumberFormat="1" applyBorder="1" applyAlignment="1">
      <alignment vertical="center"/>
    </xf>
    <xf numFmtId="0" fontId="2" fillId="3" borderId="1" xfId="23" applyFill="1" applyBorder="1" applyAlignment="1">
      <alignment horizontal="right" vertical="center"/>
    </xf>
    <xf numFmtId="0" fontId="2" fillId="3" borderId="2" xfId="23" applyFill="1" applyBorder="1" applyAlignment="1">
      <alignment vertical="center"/>
    </xf>
    <xf numFmtId="14" fontId="2" fillId="3" borderId="2" xfId="23" applyNumberFormat="1" applyFill="1" applyBorder="1" applyAlignment="1">
      <alignment horizontal="center" vertical="center"/>
    </xf>
    <xf numFmtId="0" fontId="2" fillId="3" borderId="3" xfId="23" applyFill="1" applyBorder="1" applyAlignment="1">
      <alignment vertical="center"/>
    </xf>
    <xf numFmtId="0" fontId="2" fillId="3" borderId="4" xfId="23" applyFill="1" applyBorder="1" applyAlignment="1">
      <alignment horizontal="right" vertical="center"/>
    </xf>
    <xf numFmtId="0" fontId="2" fillId="3" borderId="0" xfId="23" applyFill="1" applyAlignment="1">
      <alignment vertical="center"/>
    </xf>
    <xf numFmtId="14" fontId="2" fillId="3" borderId="0" xfId="23" applyNumberFormat="1" applyFill="1" applyAlignment="1">
      <alignment horizontal="center" vertical="center"/>
    </xf>
    <xf numFmtId="0" fontId="2" fillId="3" borderId="5" xfId="23" applyFill="1" applyBorder="1" applyAlignment="1">
      <alignment vertical="center"/>
    </xf>
    <xf numFmtId="0" fontId="73" fillId="0" borderId="0" xfId="23" applyFont="1" applyAlignment="1">
      <alignment horizontal="right" vertical="center"/>
    </xf>
    <xf numFmtId="1" fontId="2" fillId="3" borderId="0" xfId="23" applyNumberFormat="1" applyFill="1" applyAlignment="1">
      <alignment horizontal="center" vertical="center"/>
    </xf>
    <xf numFmtId="0" fontId="2" fillId="3" borderId="0" xfId="23" applyFill="1" applyAlignment="1">
      <alignment horizontal="right" vertical="center"/>
    </xf>
    <xf numFmtId="0" fontId="2" fillId="3" borderId="0" xfId="23" applyFill="1" applyAlignment="1">
      <alignment horizontal="center" vertical="center"/>
    </xf>
    <xf numFmtId="0" fontId="74" fillId="0" borderId="0" xfId="23" quotePrefix="1" applyFont="1" applyAlignment="1">
      <alignment vertical="center"/>
    </xf>
    <xf numFmtId="0" fontId="73" fillId="0" borderId="0" xfId="23" applyFont="1" applyAlignment="1">
      <alignment vertical="center"/>
    </xf>
    <xf numFmtId="164" fontId="2" fillId="3" borderId="0" xfId="23" applyNumberFormat="1" applyFill="1" applyAlignment="1">
      <alignment horizontal="center" vertical="center"/>
    </xf>
    <xf numFmtId="0" fontId="2" fillId="3" borderId="5" xfId="23" applyFill="1" applyBorder="1" applyAlignment="1">
      <alignment horizontal="center" vertical="center"/>
    </xf>
    <xf numFmtId="0" fontId="2" fillId="3" borderId="6" xfId="23" applyFill="1" applyBorder="1" applyAlignment="1">
      <alignment horizontal="right" vertical="center"/>
    </xf>
    <xf numFmtId="0" fontId="2" fillId="3" borderId="7" xfId="23" applyFill="1" applyBorder="1" applyAlignment="1">
      <alignment horizontal="center" vertical="center"/>
    </xf>
    <xf numFmtId="14" fontId="2" fillId="3" borderId="7" xfId="23" applyNumberFormat="1" applyFill="1" applyBorder="1" applyAlignment="1">
      <alignment horizontal="center" vertical="center"/>
    </xf>
    <xf numFmtId="0" fontId="2" fillId="3" borderId="7" xfId="23" applyFill="1" applyBorder="1" applyAlignment="1">
      <alignment vertical="center"/>
    </xf>
    <xf numFmtId="0" fontId="2" fillId="3" borderId="8" xfId="23" applyFill="1" applyBorder="1" applyAlignment="1">
      <alignment vertical="center"/>
    </xf>
    <xf numFmtId="0" fontId="75" fillId="0" borderId="0" xfId="23" applyFont="1" applyAlignment="1">
      <alignment horizontal="center" vertical="center"/>
    </xf>
    <xf numFmtId="4" fontId="22" fillId="0" borderId="0" xfId="9" applyNumberFormat="1" applyFont="1" applyAlignment="1">
      <alignment horizontal="right" vertical="center" wrapText="1"/>
    </xf>
    <xf numFmtId="0" fontId="7" fillId="0" borderId="0" xfId="23" applyFont="1" applyAlignment="1">
      <alignment horizontal="left" vertical="center"/>
    </xf>
    <xf numFmtId="1" fontId="76" fillId="0" borderId="0" xfId="20" applyNumberFormat="1" applyFont="1" applyAlignment="1">
      <alignment horizontal="right" vertical="center" wrapText="1"/>
    </xf>
    <xf numFmtId="10" fontId="47" fillId="0" borderId="0" xfId="17" applyNumberFormat="1" applyFont="1" applyFill="1" applyBorder="1" applyAlignment="1">
      <alignment horizontal="center" vertical="center"/>
    </xf>
    <xf numFmtId="4" fontId="2" fillId="0" borderId="0" xfId="17" applyNumberFormat="1" applyFont="1" applyFill="1" applyBorder="1" applyAlignment="1">
      <alignment horizontal="center" vertical="center"/>
    </xf>
    <xf numFmtId="0" fontId="47" fillId="0" borderId="0" xfId="23" quotePrefix="1" applyFont="1" applyAlignment="1">
      <alignment vertical="center"/>
    </xf>
    <xf numFmtId="0" fontId="22" fillId="0" borderId="0" xfId="9" applyFont="1" applyAlignment="1">
      <alignment horizontal="center" vertical="center" wrapText="1"/>
    </xf>
    <xf numFmtId="165" fontId="22" fillId="0" borderId="0" xfId="117" applyFont="1" applyFill="1" applyBorder="1" applyAlignment="1">
      <alignment horizontal="right" vertical="center" wrapText="1"/>
    </xf>
    <xf numFmtId="0" fontId="2" fillId="0" borderId="0" xfId="23" quotePrefix="1" applyAlignment="1">
      <alignment vertical="center"/>
    </xf>
    <xf numFmtId="0" fontId="22" fillId="0" borderId="0" xfId="9" quotePrefix="1" applyFont="1" applyAlignment="1">
      <alignment horizontal="center" vertical="center" wrapText="1"/>
    </xf>
    <xf numFmtId="187" fontId="2" fillId="0" borderId="0" xfId="119" applyNumberFormat="1" applyFont="1" applyFill="1" applyBorder="1" applyAlignment="1">
      <alignment horizontal="center" vertical="center"/>
    </xf>
    <xf numFmtId="10" fontId="47" fillId="0" borderId="0" xfId="9" quotePrefix="1" applyNumberFormat="1" applyFont="1" applyAlignment="1">
      <alignment horizontal="center" vertical="center" wrapText="1"/>
    </xf>
    <xf numFmtId="10" fontId="22" fillId="0" borderId="0" xfId="17" applyNumberFormat="1" applyFont="1" applyFill="1" applyBorder="1" applyAlignment="1">
      <alignment horizontal="center" vertical="center" wrapText="1"/>
    </xf>
    <xf numFmtId="0" fontId="49" fillId="0" borderId="0" xfId="9" applyFont="1" applyAlignment="1">
      <alignment vertical="center" wrapText="1"/>
    </xf>
    <xf numFmtId="4" fontId="49" fillId="0" borderId="0" xfId="9" applyNumberFormat="1" applyFont="1" applyAlignment="1">
      <alignment horizontal="right" vertical="center" wrapText="1"/>
    </xf>
    <xf numFmtId="2" fontId="49" fillId="0" borderId="0" xfId="9" applyNumberFormat="1" applyFont="1" applyAlignment="1">
      <alignment horizontal="right" vertical="center" wrapText="1"/>
    </xf>
    <xf numFmtId="0" fontId="2" fillId="0" borderId="0" xfId="9" applyFont="1" applyAlignment="1">
      <alignment horizontal="center" vertical="center" wrapText="1"/>
    </xf>
    <xf numFmtId="165" fontId="2" fillId="0" borderId="0" xfId="117" applyFont="1" applyFill="1" applyBorder="1" applyAlignment="1">
      <alignment horizontal="right" vertical="center" wrapText="1"/>
    </xf>
    <xf numFmtId="0" fontId="47" fillId="0" borderId="0" xfId="23" quotePrefix="1" applyFont="1" applyAlignment="1">
      <alignment vertical="center" wrapText="1"/>
    </xf>
    <xf numFmtId="9" fontId="47" fillId="0" borderId="0" xfId="17" applyFont="1" applyFill="1" applyBorder="1" applyAlignment="1">
      <alignment horizontal="center" vertical="center"/>
    </xf>
    <xf numFmtId="165" fontId="7" fillId="0" borderId="0" xfId="116" applyFont="1" applyFill="1" applyBorder="1" applyAlignment="1">
      <alignment horizontal="right" vertical="center"/>
    </xf>
    <xf numFmtId="10" fontId="7" fillId="0" borderId="0" xfId="17" applyNumberFormat="1" applyFont="1" applyFill="1" applyBorder="1" applyAlignment="1">
      <alignment horizontal="right" vertical="center"/>
    </xf>
    <xf numFmtId="10" fontId="7" fillId="0" borderId="0" xfId="23" applyNumberFormat="1" applyFont="1" applyAlignment="1">
      <alignment horizontal="right" vertical="center"/>
    </xf>
    <xf numFmtId="176" fontId="7" fillId="0" borderId="0" xfId="23" applyNumberFormat="1" applyFont="1" applyAlignment="1">
      <alignment horizontal="right" vertical="center"/>
    </xf>
    <xf numFmtId="0" fontId="2" fillId="0" borderId="0" xfId="23" quotePrefix="1" applyAlignment="1">
      <alignment vertical="center" wrapText="1"/>
    </xf>
    <xf numFmtId="165" fontId="2" fillId="0" borderId="0" xfId="116" applyFont="1" applyFill="1" applyBorder="1" applyAlignment="1">
      <alignment horizontal="right" vertical="center"/>
    </xf>
    <xf numFmtId="10" fontId="2" fillId="0" borderId="0" xfId="17" applyNumberFormat="1" applyFont="1" applyFill="1" applyBorder="1" applyAlignment="1">
      <alignment horizontal="right" vertical="center"/>
    </xf>
    <xf numFmtId="0" fontId="7" fillId="0" borderId="0" xfId="23" applyFont="1" applyAlignment="1">
      <alignment horizontal="right" vertical="center"/>
    </xf>
    <xf numFmtId="167" fontId="7" fillId="0" borderId="0" xfId="23" applyNumberFormat="1" applyFont="1" applyAlignment="1">
      <alignment horizontal="right" vertical="center"/>
    </xf>
    <xf numFmtId="3" fontId="2" fillId="0" borderId="0" xfId="23" applyNumberFormat="1" applyAlignment="1">
      <alignment horizontal="right" vertical="center"/>
    </xf>
    <xf numFmtId="3" fontId="2" fillId="0" borderId="0" xfId="116" applyNumberFormat="1" applyFont="1" applyBorder="1" applyAlignment="1">
      <alignment horizontal="right" vertical="center"/>
    </xf>
    <xf numFmtId="165" fontId="2" fillId="0" borderId="0" xfId="116" applyFont="1" applyBorder="1" applyAlignment="1">
      <alignment horizontal="right" vertical="center"/>
    </xf>
    <xf numFmtId="0" fontId="22" fillId="0" borderId="7" xfId="9" applyFont="1" applyBorder="1" applyAlignment="1">
      <alignment horizontal="center" vertical="center" wrapText="1"/>
    </xf>
    <xf numFmtId="4" fontId="22" fillId="0" borderId="7" xfId="9" applyNumberFormat="1" applyFont="1" applyBorder="1" applyAlignment="1">
      <alignment horizontal="right" vertical="center" wrapText="1"/>
    </xf>
    <xf numFmtId="177" fontId="2" fillId="0" borderId="0" xfId="116" applyNumberFormat="1" applyFont="1" applyBorder="1" applyAlignment="1">
      <alignment horizontal="right" vertical="center"/>
    </xf>
    <xf numFmtId="164" fontId="2" fillId="2" borderId="0" xfId="115" applyFont="1" applyFill="1" applyBorder="1" applyAlignment="1">
      <alignment horizontal="center" vertical="center"/>
    </xf>
    <xf numFmtId="0" fontId="67" fillId="0" borderId="0" xfId="23" applyFont="1" applyAlignment="1">
      <alignment horizontal="center" vertical="center"/>
    </xf>
    <xf numFmtId="184" fontId="2" fillId="0" borderId="0" xfId="23" applyNumberFormat="1" applyAlignment="1">
      <alignment horizontal="right" vertical="center"/>
    </xf>
    <xf numFmtId="165" fontId="2" fillId="0" borderId="0" xfId="23" applyNumberFormat="1" applyAlignment="1">
      <alignment horizontal="right" vertical="center"/>
    </xf>
    <xf numFmtId="0" fontId="7" fillId="0" borderId="0" xfId="23" applyFont="1" applyAlignment="1">
      <alignment horizontal="right" vertical="center" wrapText="1"/>
    </xf>
    <xf numFmtId="0" fontId="61" fillId="2" borderId="58" xfId="20" applyFont="1" applyFill="1" applyBorder="1" applyAlignment="1">
      <alignment horizontal="center" vertical="center" wrapText="1"/>
    </xf>
    <xf numFmtId="0" fontId="61" fillId="2" borderId="20" xfId="20" applyFont="1" applyFill="1" applyBorder="1" applyAlignment="1">
      <alignment horizontal="center" vertical="center" wrapText="1"/>
    </xf>
    <xf numFmtId="10" fontId="7" fillId="0" borderId="0" xfId="27" applyNumberFormat="1" applyFont="1" applyFill="1" applyBorder="1" applyAlignment="1">
      <alignment horizontal="right" vertical="center"/>
    </xf>
    <xf numFmtId="184" fontId="2" fillId="0" borderId="0" xfId="17" applyNumberFormat="1" applyFont="1" applyFill="1" applyBorder="1" applyAlignment="1">
      <alignment horizontal="right" vertical="center"/>
    </xf>
    <xf numFmtId="184" fontId="2" fillId="0" borderId="0" xfId="17" applyNumberFormat="1" applyFont="1" applyFill="1" applyBorder="1" applyAlignment="1">
      <alignment vertical="center"/>
    </xf>
    <xf numFmtId="10" fontId="2" fillId="0" borderId="0" xfId="23" quotePrefix="1" applyNumberFormat="1" applyAlignment="1">
      <alignment horizontal="right" vertical="center"/>
    </xf>
    <xf numFmtId="177" fontId="2" fillId="0" borderId="0" xfId="54" applyNumberFormat="1" applyFont="1" applyFill="1" applyBorder="1" applyAlignment="1">
      <alignment horizontal="center" vertical="center"/>
    </xf>
    <xf numFmtId="10" fontId="2" fillId="0" borderId="0" xfId="17" applyNumberFormat="1" applyFont="1" applyBorder="1" applyAlignment="1">
      <alignment horizontal="right" vertical="center"/>
    </xf>
    <xf numFmtId="10" fontId="2" fillId="0" borderId="5" xfId="17" applyNumberFormat="1" applyFont="1" applyBorder="1" applyAlignment="1">
      <alignment horizontal="right" vertical="center"/>
    </xf>
    <xf numFmtId="10" fontId="2" fillId="0" borderId="0" xfId="27" applyNumberFormat="1" applyFont="1" applyFill="1" applyBorder="1" applyAlignment="1">
      <alignment horizontal="right" vertical="center"/>
    </xf>
    <xf numFmtId="0" fontId="2" fillId="0" borderId="5" xfId="23" quotePrefix="1" applyBorder="1" applyAlignment="1">
      <alignment vertical="center"/>
    </xf>
    <xf numFmtId="184" fontId="2" fillId="0" borderId="0" xfId="17" applyNumberFormat="1" applyFont="1" applyBorder="1" applyAlignment="1">
      <alignment vertical="center"/>
    </xf>
    <xf numFmtId="184" fontId="7" fillId="0" borderId="0" xfId="17" applyNumberFormat="1" applyFont="1" applyBorder="1" applyAlignment="1">
      <alignment horizontal="right" vertical="center"/>
    </xf>
    <xf numFmtId="184" fontId="7" fillId="0" borderId="0" xfId="17" applyNumberFormat="1" applyFont="1" applyBorder="1" applyAlignment="1">
      <alignment vertical="center"/>
    </xf>
    <xf numFmtId="184" fontId="7" fillId="0" borderId="0" xfId="17" applyNumberFormat="1" applyFont="1" applyFill="1" applyBorder="1" applyAlignment="1">
      <alignment horizontal="right" vertical="center"/>
    </xf>
    <xf numFmtId="10" fontId="7" fillId="0" borderId="0" xfId="23" applyNumberFormat="1" applyFont="1" applyAlignment="1">
      <alignment vertical="center"/>
    </xf>
    <xf numFmtId="165" fontId="2" fillId="0" borderId="0" xfId="118" applyFont="1" applyFill="1" applyBorder="1" applyAlignment="1">
      <alignment horizontal="right" vertical="center"/>
    </xf>
    <xf numFmtId="165" fontId="2" fillId="0" borderId="0" xfId="118" applyFont="1" applyBorder="1" applyAlignment="1">
      <alignment vertical="center"/>
    </xf>
    <xf numFmtId="0" fontId="2" fillId="0" borderId="6" xfId="49" applyBorder="1" applyAlignment="1">
      <alignment horizontal="center" vertical="center"/>
    </xf>
    <xf numFmtId="10" fontId="2" fillId="0" borderId="8" xfId="17" applyNumberFormat="1" applyFont="1" applyBorder="1" applyAlignment="1">
      <alignment horizontal="right" vertical="center"/>
    </xf>
    <xf numFmtId="0" fontId="54" fillId="0" borderId="0" xfId="23" applyFont="1" applyAlignment="1">
      <alignment horizontal="right" vertical="center"/>
    </xf>
    <xf numFmtId="10" fontId="2" fillId="0" borderId="0" xfId="23" applyNumberFormat="1" applyAlignment="1">
      <alignment horizontal="right" vertical="center"/>
    </xf>
    <xf numFmtId="0" fontId="7" fillId="2" borderId="0" xfId="23" applyFont="1" applyFill="1" applyAlignment="1">
      <alignment vertical="center"/>
    </xf>
    <xf numFmtId="165" fontId="7" fillId="0" borderId="0" xfId="118" applyFont="1" applyBorder="1" applyAlignment="1">
      <alignment horizontal="right" vertical="center"/>
    </xf>
    <xf numFmtId="165" fontId="2" fillId="0" borderId="0" xfId="118" applyFont="1" applyBorder="1" applyAlignment="1">
      <alignment horizontal="right" vertical="center"/>
    </xf>
    <xf numFmtId="184" fontId="2" fillId="0" borderId="0" xfId="17" applyNumberFormat="1" applyFont="1" applyBorder="1" applyAlignment="1">
      <alignment horizontal="right" vertical="center"/>
    </xf>
    <xf numFmtId="172" fontId="2" fillId="0" borderId="0" xfId="17" applyNumberFormat="1" applyFont="1" applyFill="1" applyBorder="1" applyAlignment="1">
      <alignment vertical="center"/>
    </xf>
    <xf numFmtId="10" fontId="62" fillId="0" borderId="0" xfId="17" applyNumberFormat="1" applyFont="1" applyFill="1" applyBorder="1" applyAlignment="1">
      <alignment vertical="center"/>
    </xf>
    <xf numFmtId="165" fontId="2" fillId="0" borderId="7" xfId="118" applyFont="1" applyBorder="1" applyAlignment="1">
      <alignment horizontal="right" vertical="center"/>
    </xf>
    <xf numFmtId="165" fontId="7" fillId="0" borderId="0" xfId="118" applyFont="1" applyFill="1" applyBorder="1" applyAlignment="1">
      <alignment horizontal="right" vertical="center"/>
    </xf>
    <xf numFmtId="0" fontId="2" fillId="0" borderId="1" xfId="49" applyBorder="1" applyAlignment="1">
      <alignment horizontal="center" vertical="center"/>
    </xf>
    <xf numFmtId="10" fontId="2" fillId="0" borderId="5" xfId="17" applyNumberFormat="1" applyFont="1" applyFill="1" applyBorder="1" applyAlignment="1">
      <alignment vertical="center"/>
    </xf>
    <xf numFmtId="184" fontId="7" fillId="0" borderId="0" xfId="0" applyNumberFormat="1" applyFont="1" applyAlignment="1">
      <alignment horizontal="right" vertical="center"/>
    </xf>
    <xf numFmtId="167" fontId="2" fillId="0" borderId="0" xfId="17" applyNumberFormat="1" applyFont="1" applyBorder="1" applyAlignment="1">
      <alignment horizontal="right" vertical="center"/>
    </xf>
    <xf numFmtId="184" fontId="2" fillId="0" borderId="0" xfId="1" applyNumberFormat="1" applyFont="1" applyBorder="1" applyAlignment="1">
      <alignment horizontal="right" vertical="center"/>
    </xf>
    <xf numFmtId="165" fontId="2" fillId="0" borderId="0" xfId="1" applyFont="1" applyBorder="1" applyAlignment="1">
      <alignment horizontal="center" vertical="center"/>
    </xf>
    <xf numFmtId="0" fontId="77" fillId="0" borderId="0" xfId="0" applyFont="1" applyAlignment="1">
      <alignment vertical="center"/>
    </xf>
    <xf numFmtId="0" fontId="71" fillId="0" borderId="0" xfId="0" applyFont="1" applyAlignment="1">
      <alignment vertical="center"/>
    </xf>
    <xf numFmtId="0" fontId="7" fillId="0" borderId="0" xfId="0" applyFont="1" applyAlignment="1">
      <alignment horizontal="center" vertical="center" wrapText="1"/>
    </xf>
    <xf numFmtId="0" fontId="70" fillId="0" borderId="0" xfId="0" applyFont="1" applyAlignment="1">
      <alignment horizontal="left" vertical="center"/>
    </xf>
    <xf numFmtId="0" fontId="7" fillId="0" borderId="0" xfId="0" applyFont="1" applyAlignment="1">
      <alignment horizontal="right" vertical="center" wrapText="1"/>
    </xf>
    <xf numFmtId="184" fontId="7" fillId="0" borderId="0" xfId="0" applyNumberFormat="1" applyFont="1" applyAlignment="1">
      <alignment vertical="center"/>
    </xf>
    <xf numFmtId="184" fontId="7" fillId="0" borderId="0" xfId="1" applyNumberFormat="1" applyFont="1" applyFill="1" applyBorder="1" applyAlignment="1">
      <alignment horizontal="right" vertical="center"/>
    </xf>
    <xf numFmtId="0" fontId="7" fillId="0" borderId="4" xfId="0" applyFont="1" applyBorder="1" applyAlignment="1">
      <alignment vertical="center"/>
    </xf>
    <xf numFmtId="1" fontId="78" fillId="2" borderId="0" xfId="0" applyNumberFormat="1" applyFont="1" applyFill="1" applyAlignment="1">
      <alignment horizontal="right" vertical="center"/>
    </xf>
    <xf numFmtId="3" fontId="7" fillId="0" borderId="0" xfId="0" quotePrefix="1" applyNumberFormat="1" applyFont="1" applyAlignment="1">
      <alignment vertical="center"/>
    </xf>
    <xf numFmtId="184" fontId="7" fillId="0" borderId="0" xfId="1" applyNumberFormat="1" applyFont="1" applyBorder="1" applyAlignment="1">
      <alignment horizontal="right" vertical="center"/>
    </xf>
    <xf numFmtId="0" fontId="7" fillId="0" borderId="0" xfId="0" quotePrefix="1" applyFont="1" applyAlignment="1">
      <alignment vertical="center"/>
    </xf>
    <xf numFmtId="166" fontId="2" fillId="0" borderId="0" xfId="0" applyNumberFormat="1" applyFont="1" applyAlignment="1">
      <alignment horizontal="right" vertical="center"/>
    </xf>
    <xf numFmtId="166" fontId="2" fillId="0" borderId="7" xfId="49" applyNumberFormat="1" applyBorder="1" applyAlignment="1">
      <alignment vertical="center"/>
    </xf>
    <xf numFmtId="166" fontId="7" fillId="0" borderId="0" xfId="0" applyNumberFormat="1" applyFont="1" applyAlignment="1">
      <alignment horizontal="right" vertical="center"/>
    </xf>
    <xf numFmtId="184" fontId="2" fillId="0" borderId="0" xfId="0" applyNumberFormat="1" applyFont="1" applyAlignment="1">
      <alignment horizontal="center" vertical="center"/>
    </xf>
    <xf numFmtId="166" fontId="22" fillId="0" borderId="0" xfId="9" applyNumberFormat="1" applyFont="1" applyAlignment="1">
      <alignment horizontal="right" vertical="center" wrapText="1"/>
    </xf>
    <xf numFmtId="166" fontId="22" fillId="0" borderId="0" xfId="117" applyNumberFormat="1" applyFont="1" applyFill="1" applyBorder="1" applyAlignment="1">
      <alignment horizontal="center" vertical="center" wrapText="1"/>
    </xf>
    <xf numFmtId="164" fontId="6" fillId="0" borderId="35" xfId="3" applyFont="1" applyFill="1" applyBorder="1" applyAlignment="1">
      <alignment horizontal="center" vertical="center" wrapText="1"/>
    </xf>
    <xf numFmtId="10" fontId="2" fillId="0" borderId="35" xfId="0" applyNumberFormat="1" applyFont="1" applyBorder="1" applyAlignment="1">
      <alignment horizontal="center" vertical="center"/>
    </xf>
    <xf numFmtId="184" fontId="2" fillId="0" borderId="0" xfId="1" applyNumberFormat="1" applyFont="1" applyBorder="1" applyAlignment="1">
      <alignment horizontal="center" vertical="center"/>
    </xf>
    <xf numFmtId="184" fontId="7" fillId="0" borderId="7" xfId="23" applyNumberFormat="1" applyFont="1" applyBorder="1" applyAlignment="1">
      <alignment horizontal="right" vertical="center"/>
    </xf>
    <xf numFmtId="166" fontId="2" fillId="0" borderId="0" xfId="54" applyNumberFormat="1" applyFont="1" applyFill="1" applyBorder="1" applyAlignment="1">
      <alignment horizontal="center" vertical="center"/>
    </xf>
    <xf numFmtId="10" fontId="2" fillId="0" borderId="0" xfId="17" applyNumberFormat="1" applyFont="1" applyBorder="1" applyAlignment="1">
      <alignment horizontal="center" vertical="center"/>
    </xf>
    <xf numFmtId="166" fontId="2" fillId="0" borderId="0" xfId="54" applyNumberFormat="1" applyFont="1" applyBorder="1" applyAlignment="1">
      <alignment horizontal="center" vertical="center" wrapText="1"/>
    </xf>
    <xf numFmtId="166" fontId="2" fillId="0" borderId="0" xfId="54" applyNumberFormat="1" applyFont="1" applyBorder="1" applyAlignment="1">
      <alignment horizontal="center" vertical="center"/>
    </xf>
    <xf numFmtId="166" fontId="2" fillId="0" borderId="0" xfId="23" applyNumberFormat="1" applyAlignment="1">
      <alignment horizontal="right" vertical="center"/>
    </xf>
    <xf numFmtId="167" fontId="2" fillId="0" borderId="0" xfId="23" applyNumberFormat="1" applyAlignment="1">
      <alignment horizontal="right" vertical="center"/>
    </xf>
    <xf numFmtId="4" fontId="23" fillId="0" borderId="24" xfId="0" applyNumberFormat="1" applyFont="1" applyBorder="1" applyAlignment="1">
      <alignment horizontal="right" vertical="center"/>
    </xf>
    <xf numFmtId="10" fontId="23" fillId="0" borderId="24" xfId="0" applyNumberFormat="1" applyFont="1" applyBorder="1" applyAlignment="1">
      <alignment horizontal="right" vertical="center"/>
    </xf>
    <xf numFmtId="3" fontId="23" fillId="0" borderId="24" xfId="0" applyNumberFormat="1" applyFont="1" applyBorder="1" applyAlignment="1">
      <alignment horizontal="right" vertical="center"/>
    </xf>
    <xf numFmtId="10" fontId="23" fillId="0" borderId="37" xfId="0" applyNumberFormat="1" applyFont="1" applyBorder="1" applyAlignment="1">
      <alignment horizontal="right" vertical="center"/>
    </xf>
    <xf numFmtId="10" fontId="7" fillId="0" borderId="24" xfId="0" applyNumberFormat="1" applyFont="1" applyBorder="1" applyAlignment="1">
      <alignment horizontal="right" vertical="center"/>
    </xf>
    <xf numFmtId="10" fontId="7" fillId="0" borderId="25" xfId="0" applyNumberFormat="1" applyFont="1" applyBorder="1" applyAlignment="1">
      <alignment horizontal="right" vertical="center"/>
    </xf>
    <xf numFmtId="10" fontId="23" fillId="0" borderId="24" xfId="17" applyNumberFormat="1" applyFont="1" applyBorder="1" applyAlignment="1">
      <alignment horizontal="right" vertical="center"/>
    </xf>
    <xf numFmtId="10" fontId="23" fillId="0" borderId="25" xfId="17" applyNumberFormat="1" applyFont="1" applyBorder="1" applyAlignment="1">
      <alignment horizontal="right" vertical="center"/>
    </xf>
    <xf numFmtId="10" fontId="7" fillId="0" borderId="24" xfId="17" applyNumberFormat="1" applyFont="1" applyBorder="1" applyAlignment="1">
      <alignment horizontal="right" vertical="center"/>
    </xf>
    <xf numFmtId="184" fontId="7" fillId="0" borderId="0" xfId="1" applyNumberFormat="1" applyFont="1" applyBorder="1" applyAlignment="1">
      <alignment horizontal="center" vertical="center"/>
    </xf>
    <xf numFmtId="184" fontId="7" fillId="0" borderId="0" xfId="0" applyNumberFormat="1" applyFont="1" applyAlignment="1">
      <alignment horizontal="center" vertical="center"/>
    </xf>
    <xf numFmtId="0" fontId="2" fillId="0" borderId="0" xfId="0" applyFont="1" applyAlignment="1">
      <alignment wrapText="1"/>
    </xf>
    <xf numFmtId="184" fontId="2" fillId="0" borderId="65" xfId="116" applyNumberFormat="1" applyFont="1" applyBorder="1" applyAlignment="1">
      <alignment horizontal="right" vertical="center"/>
    </xf>
    <xf numFmtId="0" fontId="79" fillId="0" borderId="0" xfId="0" applyFont="1" applyAlignment="1">
      <alignment vertical="center"/>
    </xf>
    <xf numFmtId="0" fontId="2" fillId="0" borderId="30" xfId="23" applyBorder="1" applyAlignment="1">
      <alignment horizontal="center" vertical="center" wrapText="1"/>
    </xf>
    <xf numFmtId="0" fontId="80" fillId="0" borderId="9" xfId="0" applyFont="1" applyBorder="1" applyAlignment="1">
      <alignment vertical="center"/>
    </xf>
    <xf numFmtId="15" fontId="0" fillId="0" borderId="0" xfId="0" applyNumberFormat="1"/>
    <xf numFmtId="46" fontId="6" fillId="0" borderId="9" xfId="13" quotePrefix="1" applyNumberFormat="1" applyBorder="1" applyAlignment="1">
      <alignment horizontal="center" vertical="center" wrapText="1"/>
    </xf>
    <xf numFmtId="0" fontId="61" fillId="2" borderId="55" xfId="20" applyFont="1" applyFill="1" applyBorder="1" applyAlignment="1">
      <alignment horizontal="center" vertical="center" wrapText="1"/>
    </xf>
    <xf numFmtId="184" fontId="2" fillId="0" borderId="0" xfId="1" applyNumberFormat="1" applyFont="1" applyFill="1" applyBorder="1" applyAlignment="1">
      <alignment horizontal="center" vertical="center"/>
    </xf>
    <xf numFmtId="0" fontId="53" fillId="2" borderId="55" xfId="20" applyFont="1" applyFill="1" applyBorder="1" applyAlignment="1">
      <alignment horizontal="center" vertical="center" wrapText="1"/>
    </xf>
    <xf numFmtId="10" fontId="2" fillId="0" borderId="5" xfId="17" applyNumberFormat="1" applyFont="1" applyFill="1" applyBorder="1" applyAlignment="1">
      <alignment horizontal="right" vertical="center"/>
    </xf>
    <xf numFmtId="10" fontId="2" fillId="0" borderId="0" xfId="17" applyNumberFormat="1" applyFont="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vertical="center"/>
    </xf>
    <xf numFmtId="49" fontId="2" fillId="0" borderId="0" xfId="0" applyNumberFormat="1" applyFont="1" applyAlignment="1">
      <alignment horizontal="center" vertical="center"/>
    </xf>
    <xf numFmtId="177" fontId="2" fillId="0" borderId="66" xfId="54" applyNumberFormat="1" applyFont="1" applyFill="1" applyBorder="1" applyAlignment="1">
      <alignment horizontal="center" vertical="center"/>
    </xf>
    <xf numFmtId="166" fontId="2" fillId="0" borderId="66" xfId="54" applyNumberFormat="1" applyFont="1" applyFill="1" applyBorder="1" applyAlignment="1">
      <alignment horizontal="center" vertical="center"/>
    </xf>
    <xf numFmtId="10" fontId="2" fillId="0" borderId="66" xfId="17" applyNumberFormat="1" applyFont="1" applyBorder="1" applyAlignment="1">
      <alignment horizontal="center" vertical="center"/>
    </xf>
    <xf numFmtId="166" fontId="2" fillId="0" borderId="66" xfId="54" applyNumberFormat="1" applyFont="1" applyBorder="1" applyAlignment="1">
      <alignment horizontal="center" vertical="center" wrapText="1"/>
    </xf>
    <xf numFmtId="166" fontId="2" fillId="0" borderId="66" xfId="54" applyNumberFormat="1" applyFont="1" applyBorder="1" applyAlignment="1">
      <alignment horizontal="center" vertical="center"/>
    </xf>
    <xf numFmtId="177" fontId="2" fillId="0" borderId="7" xfId="54" applyNumberFormat="1" applyFont="1" applyFill="1" applyBorder="1" applyAlignment="1">
      <alignment horizontal="center" vertical="center"/>
    </xf>
    <xf numFmtId="166" fontId="2" fillId="0" borderId="7" xfId="54" applyNumberFormat="1" applyFont="1" applyFill="1" applyBorder="1" applyAlignment="1">
      <alignment horizontal="center" vertical="center"/>
    </xf>
    <xf numFmtId="10" fontId="2" fillId="0" borderId="7" xfId="17" applyNumberFormat="1" applyFont="1" applyBorder="1" applyAlignment="1">
      <alignment horizontal="center" vertical="center"/>
    </xf>
    <xf numFmtId="166" fontId="2" fillId="0" borderId="7" xfId="54" applyNumberFormat="1" applyFont="1" applyBorder="1" applyAlignment="1">
      <alignment horizontal="center" vertical="center" wrapText="1"/>
    </xf>
    <xf numFmtId="166" fontId="2" fillId="0" borderId="7" xfId="54" applyNumberFormat="1" applyFont="1" applyBorder="1" applyAlignment="1">
      <alignment horizontal="center" vertical="center"/>
    </xf>
    <xf numFmtId="4" fontId="7" fillId="0" borderId="32" xfId="0" applyNumberFormat="1" applyFont="1" applyBorder="1" applyAlignment="1">
      <alignment horizontal="right" vertical="center"/>
    </xf>
    <xf numFmtId="168" fontId="23" fillId="0" borderId="32" xfId="17" applyNumberFormat="1" applyFont="1" applyFill="1" applyBorder="1" applyAlignment="1">
      <alignment horizontal="right" vertical="center" wrapText="1"/>
    </xf>
    <xf numFmtId="3" fontId="7" fillId="0" borderId="25" xfId="0" applyNumberFormat="1" applyFont="1" applyBorder="1" applyAlignment="1">
      <alignment horizontal="right" vertical="center"/>
    </xf>
    <xf numFmtId="4" fontId="2" fillId="0" borderId="0" xfId="9" applyNumberFormat="1" applyFont="1" applyAlignment="1">
      <alignment horizontal="left" vertical="center" wrapText="1"/>
    </xf>
    <xf numFmtId="189" fontId="7" fillId="0" borderId="0" xfId="3" applyNumberFormat="1" applyFont="1" applyFill="1" applyAlignment="1">
      <alignment horizontal="center" vertical="center"/>
    </xf>
    <xf numFmtId="4" fontId="22" fillId="0" borderId="0" xfId="9" applyNumberFormat="1" applyFont="1" applyAlignment="1">
      <alignment horizontal="center" vertical="center" wrapText="1"/>
    </xf>
    <xf numFmtId="166" fontId="2" fillId="0" borderId="0" xfId="0" applyNumberFormat="1" applyFont="1" applyAlignment="1">
      <alignment horizontal="center" vertical="center"/>
    </xf>
    <xf numFmtId="2" fontId="2" fillId="0" borderId="0" xfId="3" applyNumberFormat="1" applyFont="1" applyAlignment="1">
      <alignment horizontal="center" vertical="center"/>
    </xf>
    <xf numFmtId="44" fontId="2" fillId="0" borderId="0" xfId="117" applyNumberFormat="1" applyFont="1" applyFill="1" applyBorder="1" applyAlignment="1">
      <alignment horizontal="center" vertical="center" wrapText="1"/>
    </xf>
    <xf numFmtId="166" fontId="49" fillId="0" borderId="0" xfId="9" applyNumberFormat="1" applyFont="1" applyAlignment="1">
      <alignment horizontal="center" vertical="center" wrapText="1"/>
    </xf>
    <xf numFmtId="166" fontId="22" fillId="0" borderId="0" xfId="9" applyNumberFormat="1" applyFont="1" applyAlignment="1">
      <alignment horizontal="center" vertical="center" wrapText="1"/>
    </xf>
    <xf numFmtId="0" fontId="81" fillId="0" borderId="0" xfId="0" applyFont="1"/>
    <xf numFmtId="0" fontId="49" fillId="0" borderId="0" xfId="0" applyFont="1"/>
    <xf numFmtId="0" fontId="83" fillId="0" borderId="0" xfId="0" applyFont="1"/>
    <xf numFmtId="10" fontId="23" fillId="0" borderId="25" xfId="17" applyNumberFormat="1" applyFont="1" applyFill="1" applyBorder="1" applyAlignment="1">
      <alignment horizontal="right" vertical="center"/>
    </xf>
    <xf numFmtId="166" fontId="22" fillId="0" borderId="0" xfId="17" applyNumberFormat="1" applyFont="1" applyFill="1" applyBorder="1" applyAlignment="1">
      <alignment horizontal="center" vertical="center" wrapText="1"/>
    </xf>
    <xf numFmtId="0" fontId="2" fillId="0" borderId="0" xfId="0" applyFont="1"/>
    <xf numFmtId="0" fontId="7" fillId="0" borderId="0" xfId="49" applyFont="1" applyAlignment="1">
      <alignment vertical="center"/>
    </xf>
    <xf numFmtId="0" fontId="8" fillId="0" borderId="0" xfId="23" applyFont="1" applyAlignment="1">
      <alignment vertical="center"/>
    </xf>
    <xf numFmtId="0" fontId="84" fillId="0" borderId="0" xfId="0" applyFont="1" applyAlignment="1">
      <alignment vertical="center"/>
    </xf>
    <xf numFmtId="190" fontId="2" fillId="0" borderId="2" xfId="23" applyNumberFormat="1" applyBorder="1" applyAlignment="1">
      <alignment vertical="center"/>
    </xf>
    <xf numFmtId="186" fontId="2" fillId="0" borderId="0" xfId="119" applyNumberFormat="1" applyFont="1" applyFill="1" applyBorder="1" applyAlignment="1">
      <alignment horizontal="center" vertical="center"/>
    </xf>
    <xf numFmtId="166" fontId="2" fillId="0" borderId="0" xfId="3" applyNumberFormat="1" applyFont="1" applyFill="1" applyBorder="1" applyAlignment="1">
      <alignment horizontal="center" vertical="center"/>
    </xf>
    <xf numFmtId="1" fontId="2" fillId="0" borderId="0" xfId="3" applyNumberFormat="1" applyFont="1" applyFill="1" applyBorder="1" applyAlignment="1">
      <alignment horizontal="center" vertical="center"/>
    </xf>
    <xf numFmtId="173" fontId="2" fillId="0" borderId="2" xfId="17" applyNumberFormat="1" applyFont="1" applyFill="1" applyBorder="1" applyAlignment="1">
      <alignment horizontal="right" vertical="center"/>
    </xf>
    <xf numFmtId="0" fontId="2" fillId="0" borderId="2" xfId="23" applyBorder="1" applyAlignment="1">
      <alignment horizontal="right" vertical="center"/>
    </xf>
    <xf numFmtId="167" fontId="2" fillId="0" borderId="2" xfId="23" applyNumberFormat="1" applyBorder="1" applyAlignment="1">
      <alignment horizontal="right" vertical="center"/>
    </xf>
    <xf numFmtId="1" fontId="2" fillId="2" borderId="0" xfId="3" applyNumberFormat="1" applyFont="1" applyFill="1" applyBorder="1" applyAlignment="1">
      <alignment horizontal="center" vertical="center"/>
    </xf>
    <xf numFmtId="44" fontId="2" fillId="0" borderId="0" xfId="119" applyNumberFormat="1" applyFont="1" applyFill="1" applyBorder="1" applyAlignment="1">
      <alignment horizontal="right" vertical="center"/>
    </xf>
    <xf numFmtId="44" fontId="2" fillId="0" borderId="0" xfId="119" applyNumberFormat="1" applyFont="1" applyFill="1" applyAlignment="1">
      <alignment horizontal="right" vertical="center"/>
    </xf>
    <xf numFmtId="44" fontId="2" fillId="0" borderId="64" xfId="119" applyNumberFormat="1" applyFont="1" applyFill="1" applyBorder="1" applyAlignment="1">
      <alignment horizontal="right" vertical="center"/>
    </xf>
    <xf numFmtId="44" fontId="2" fillId="0" borderId="0" xfId="116" applyNumberFormat="1" applyFont="1" applyBorder="1" applyAlignment="1">
      <alignment horizontal="right" vertical="center"/>
    </xf>
    <xf numFmtId="44" fontId="2" fillId="0" borderId="0" xfId="116" applyNumberFormat="1" applyFont="1" applyFill="1" applyBorder="1" applyAlignment="1">
      <alignment horizontal="right" vertical="center"/>
    </xf>
    <xf numFmtId="44" fontId="2" fillId="0" borderId="65" xfId="116" applyNumberFormat="1" applyFont="1" applyBorder="1" applyAlignment="1">
      <alignment horizontal="right" vertical="center"/>
    </xf>
    <xf numFmtId="44" fontId="2" fillId="0" borderId="64" xfId="116" applyNumberFormat="1" applyFont="1" applyFill="1" applyBorder="1" applyAlignment="1">
      <alignment horizontal="right" vertical="center"/>
    </xf>
    <xf numFmtId="44" fontId="2" fillId="0" borderId="0" xfId="9" applyNumberFormat="1" applyFont="1" applyAlignment="1">
      <alignment horizontal="right" vertical="center" wrapText="1"/>
    </xf>
    <xf numFmtId="166" fontId="2" fillId="0" borderId="0" xfId="117" applyNumberFormat="1" applyFont="1" applyFill="1" applyBorder="1" applyAlignment="1">
      <alignment horizontal="center" vertical="center" wrapText="1"/>
    </xf>
    <xf numFmtId="0" fontId="3" fillId="0" borderId="4" xfId="23" applyFont="1" applyBorder="1" applyAlignment="1">
      <alignment horizontal="center" vertical="center"/>
    </xf>
    <xf numFmtId="9" fontId="22" fillId="0" borderId="0" xfId="17" applyFont="1" applyAlignment="1">
      <alignment horizontal="center" vertical="center" wrapText="1"/>
    </xf>
    <xf numFmtId="1" fontId="2" fillId="0" borderId="0" xfId="3" applyNumberFormat="1" applyFont="1" applyAlignment="1">
      <alignment horizontal="center" vertical="center"/>
    </xf>
    <xf numFmtId="0" fontId="2" fillId="0" borderId="66" xfId="23" applyBorder="1" applyAlignment="1">
      <alignment vertical="center"/>
    </xf>
    <xf numFmtId="185" fontId="2" fillId="0" borderId="0" xfId="0" applyNumberFormat="1" applyFont="1" applyAlignment="1">
      <alignment horizontal="center" vertical="center"/>
    </xf>
    <xf numFmtId="44" fontId="2" fillId="0" borderId="0" xfId="0" applyNumberFormat="1" applyFont="1" applyAlignment="1">
      <alignment vertical="center"/>
    </xf>
    <xf numFmtId="0" fontId="85" fillId="0" borderId="0" xfId="0" applyFont="1" applyAlignment="1">
      <alignment vertical="center"/>
    </xf>
    <xf numFmtId="0" fontId="85" fillId="0" borderId="0" xfId="0" applyFont="1"/>
    <xf numFmtId="0" fontId="86" fillId="0" borderId="0" xfId="2" applyFont="1" applyAlignment="1" applyProtection="1">
      <alignment vertical="center"/>
    </xf>
    <xf numFmtId="0" fontId="2" fillId="0" borderId="33" xfId="23" applyBorder="1" applyAlignment="1">
      <alignment vertical="center"/>
    </xf>
    <xf numFmtId="0" fontId="2" fillId="0" borderId="34" xfId="23" applyBorder="1" applyAlignment="1">
      <alignment vertical="center"/>
    </xf>
    <xf numFmtId="0" fontId="7" fillId="0" borderId="2" xfId="23" applyFont="1" applyBorder="1" applyAlignment="1">
      <alignment horizontal="center" vertical="center"/>
    </xf>
    <xf numFmtId="10" fontId="7" fillId="0" borderId="0" xfId="23" applyNumberFormat="1" applyFont="1" applyAlignment="1">
      <alignment horizontal="center" vertical="center"/>
    </xf>
    <xf numFmtId="10" fontId="7" fillId="0" borderId="58" xfId="23" applyNumberFormat="1" applyFont="1" applyBorder="1" applyAlignment="1">
      <alignment horizontal="center" vertical="center"/>
    </xf>
    <xf numFmtId="0" fontId="2" fillId="0" borderId="34" xfId="23" quotePrefix="1" applyBorder="1" applyAlignment="1">
      <alignment vertical="center"/>
    </xf>
    <xf numFmtId="0" fontId="8" fillId="0" borderId="42" xfId="23" applyFont="1" applyBorder="1" applyAlignment="1">
      <alignment vertical="center"/>
    </xf>
    <xf numFmtId="0" fontId="2" fillId="0" borderId="68" xfId="0" applyFont="1" applyBorder="1" applyAlignment="1">
      <alignment horizontal="center" vertical="center"/>
    </xf>
    <xf numFmtId="44" fontId="2" fillId="0" borderId="33" xfId="0" applyNumberFormat="1" applyFont="1" applyBorder="1" applyAlignment="1">
      <alignment vertical="center"/>
    </xf>
    <xf numFmtId="10" fontId="2" fillId="0" borderId="69" xfId="17" applyNumberFormat="1" applyFont="1" applyBorder="1" applyAlignment="1">
      <alignment vertical="center"/>
    </xf>
    <xf numFmtId="0" fontId="2" fillId="0" borderId="4" xfId="0" applyFont="1" applyBorder="1" applyAlignment="1">
      <alignment horizontal="center" vertical="center"/>
    </xf>
    <xf numFmtId="10" fontId="2" fillId="0" borderId="5" xfId="17" applyNumberFormat="1" applyFont="1" applyBorder="1" applyAlignment="1">
      <alignment vertical="center"/>
    </xf>
    <xf numFmtId="9" fontId="2" fillId="0" borderId="5" xfId="17" applyFont="1" applyBorder="1" applyAlignment="1">
      <alignment vertical="center"/>
    </xf>
    <xf numFmtId="0" fontId="2" fillId="0" borderId="6" xfId="0" applyFont="1" applyBorder="1" applyAlignment="1">
      <alignment horizontal="center" vertical="center"/>
    </xf>
    <xf numFmtId="44" fontId="2" fillId="0" borderId="66" xfId="0" applyNumberFormat="1" applyFont="1" applyBorder="1" applyAlignment="1">
      <alignment vertical="center"/>
    </xf>
    <xf numFmtId="9" fontId="2" fillId="0" borderId="8" xfId="17" applyFont="1" applyBorder="1" applyAlignment="1">
      <alignment vertical="center"/>
    </xf>
    <xf numFmtId="10" fontId="22" fillId="0" borderId="0" xfId="17" applyNumberFormat="1" applyFont="1" applyFill="1" applyBorder="1" applyAlignment="1">
      <alignment horizontal="center" vertical="center" wrapText="1"/>
    </xf>
    <xf numFmtId="0" fontId="9" fillId="29" borderId="0" xfId="49" applyFont="1" applyFill="1" applyAlignment="1">
      <alignment horizontal="center" vertical="center"/>
    </xf>
    <xf numFmtId="168" fontId="2" fillId="0" borderId="0" xfId="9" applyNumberFormat="1" applyFont="1" applyAlignment="1">
      <alignment horizontal="right" vertical="center" wrapText="1"/>
    </xf>
    <xf numFmtId="168" fontId="2" fillId="0" borderId="2" xfId="23" applyNumberFormat="1" applyBorder="1" applyAlignment="1">
      <alignment vertical="center"/>
    </xf>
    <xf numFmtId="0" fontId="2" fillId="0" borderId="0" xfId="0" applyFont="1" applyAlignment="1">
      <alignment vertical="center"/>
    </xf>
    <xf numFmtId="0" fontId="61" fillId="2" borderId="54" xfId="20" applyFont="1" applyFill="1" applyBorder="1" applyAlignment="1">
      <alignment horizontal="center" vertical="center" wrapText="1"/>
    </xf>
    <xf numFmtId="0" fontId="61" fillId="2" borderId="57" xfId="20" applyFont="1" applyFill="1" applyBorder="1" applyAlignment="1">
      <alignment horizontal="center" vertical="center" wrapText="1"/>
    </xf>
    <xf numFmtId="0" fontId="2" fillId="0" borderId="59" xfId="0" applyFont="1" applyBorder="1" applyAlignment="1">
      <alignment vertical="center"/>
    </xf>
    <xf numFmtId="0" fontId="61" fillId="2" borderId="62" xfId="20" applyFont="1" applyFill="1" applyBorder="1" applyAlignment="1">
      <alignment horizontal="center" vertical="center" wrapText="1"/>
    </xf>
    <xf numFmtId="0" fontId="61" fillId="2" borderId="63" xfId="20" applyFont="1" applyFill="1" applyBorder="1" applyAlignment="1">
      <alignment horizontal="center" vertical="center" wrapText="1"/>
    </xf>
    <xf numFmtId="0" fontId="61" fillId="2" borderId="59" xfId="20" applyFont="1" applyFill="1" applyBorder="1" applyAlignment="1">
      <alignment horizontal="center" vertical="center" wrapText="1"/>
    </xf>
    <xf numFmtId="0" fontId="61" fillId="2" borderId="55" xfId="20" applyFont="1" applyFill="1" applyBorder="1" applyAlignment="1">
      <alignment horizontal="center" vertical="center" wrapText="1"/>
    </xf>
    <xf numFmtId="0" fontId="61" fillId="2" borderId="56" xfId="20" applyFont="1" applyFill="1" applyBorder="1" applyAlignment="1">
      <alignment horizontal="center" vertical="center" wrapText="1"/>
    </xf>
    <xf numFmtId="0" fontId="61" fillId="2" borderId="35" xfId="20" applyFont="1" applyFill="1" applyBorder="1" applyAlignment="1">
      <alignment horizontal="center" vertical="center" wrapText="1"/>
    </xf>
    <xf numFmtId="0" fontId="61" fillId="2" borderId="67" xfId="20" applyFont="1" applyFill="1" applyBorder="1" applyAlignment="1">
      <alignment horizontal="center" vertical="center" wrapText="1"/>
    </xf>
    <xf numFmtId="0" fontId="2" fillId="27" borderId="55" xfId="23" applyFill="1" applyBorder="1" applyAlignment="1">
      <alignment vertical="center"/>
    </xf>
    <xf numFmtId="0" fontId="2" fillId="27" borderId="56" xfId="0" applyFont="1" applyFill="1" applyBorder="1" applyAlignment="1">
      <alignment vertical="center"/>
    </xf>
    <xf numFmtId="0" fontId="2" fillId="27" borderId="35" xfId="0" applyFont="1" applyFill="1" applyBorder="1" applyAlignment="1">
      <alignment vertical="center"/>
    </xf>
    <xf numFmtId="166" fontId="2" fillId="0" borderId="0" xfId="23" applyNumberFormat="1" applyAlignment="1">
      <alignment horizontal="center" vertical="center"/>
    </xf>
    <xf numFmtId="0" fontId="2" fillId="0" borderId="0" xfId="23" applyAlignment="1">
      <alignment horizontal="center" vertical="center"/>
    </xf>
    <xf numFmtId="10" fontId="22" fillId="0" borderId="0" xfId="17" applyNumberFormat="1" applyFont="1" applyFill="1" applyBorder="1" applyAlignment="1">
      <alignment horizontal="center" vertical="center" wrapText="1"/>
    </xf>
    <xf numFmtId="0" fontId="47" fillId="0" borderId="0" xfId="0" applyFont="1" applyAlignment="1">
      <alignment horizontal="left" vertical="center" wrapText="1"/>
    </xf>
    <xf numFmtId="0" fontId="6" fillId="2" borderId="41" xfId="20" applyFont="1" applyFill="1" applyBorder="1" applyAlignment="1">
      <alignment horizontal="center" vertical="center" wrapText="1"/>
    </xf>
    <xf numFmtId="0" fontId="6" fillId="2" borderId="42" xfId="20" applyFont="1" applyFill="1" applyBorder="1" applyAlignment="1">
      <alignment horizontal="center" vertical="center" wrapText="1"/>
    </xf>
    <xf numFmtId="0" fontId="6" fillId="2" borderId="43" xfId="20" applyFont="1" applyFill="1" applyBorder="1" applyAlignment="1">
      <alignment horizontal="center" vertical="center" wrapText="1"/>
    </xf>
    <xf numFmtId="0" fontId="6" fillId="2" borderId="6" xfId="20" applyFont="1" applyFill="1" applyBorder="1" applyAlignment="1">
      <alignment horizontal="center" vertical="center" wrapText="1"/>
    </xf>
    <xf numFmtId="0" fontId="6" fillId="2" borderId="7" xfId="20" applyFont="1" applyFill="1" applyBorder="1" applyAlignment="1">
      <alignment horizontal="center" vertical="center" wrapText="1"/>
    </xf>
    <xf numFmtId="0" fontId="6" fillId="2" borderId="8" xfId="20" applyFont="1" applyFill="1" applyBorder="1" applyAlignment="1">
      <alignment horizontal="center" vertical="center" wrapText="1"/>
    </xf>
    <xf numFmtId="0" fontId="2" fillId="2" borderId="1" xfId="23" applyFill="1" applyBorder="1" applyAlignment="1">
      <alignment horizontal="right" vertical="center"/>
    </xf>
    <xf numFmtId="0" fontId="2" fillId="0" borderId="2" xfId="0" applyFont="1" applyBorder="1" applyAlignment="1">
      <alignment horizontal="right" vertical="center"/>
    </xf>
    <xf numFmtId="0" fontId="2" fillId="2" borderId="4" xfId="23" applyFill="1" applyBorder="1" applyAlignment="1">
      <alignment horizontal="right" vertical="center"/>
    </xf>
    <xf numFmtId="0" fontId="2" fillId="0" borderId="0" xfId="0" applyFont="1" applyAlignment="1">
      <alignment horizontal="right" vertical="center"/>
    </xf>
    <xf numFmtId="14" fontId="2" fillId="2" borderId="4" xfId="23" applyNumberFormat="1" applyFill="1" applyBorder="1" applyAlignment="1">
      <alignment horizontal="right" vertical="center"/>
    </xf>
    <xf numFmtId="14" fontId="2" fillId="2" borderId="6" xfId="23" applyNumberFormat="1" applyFill="1" applyBorder="1" applyAlignment="1">
      <alignment horizontal="right" vertical="center"/>
    </xf>
    <xf numFmtId="0" fontId="2" fillId="0" borderId="7" xfId="0" applyFont="1" applyBorder="1" applyAlignment="1">
      <alignment horizontal="right" vertical="center"/>
    </xf>
    <xf numFmtId="0" fontId="2" fillId="2" borderId="55" xfId="23" applyFill="1" applyBorder="1" applyAlignment="1">
      <alignment horizontal="center" vertical="center"/>
    </xf>
    <xf numFmtId="0" fontId="2" fillId="2" borderId="56" xfId="23" applyFill="1" applyBorder="1" applyAlignment="1">
      <alignment horizontal="center" vertical="center"/>
    </xf>
    <xf numFmtId="0" fontId="2" fillId="2" borderId="35" xfId="23" applyFill="1" applyBorder="1" applyAlignment="1">
      <alignment horizontal="center" vertical="center"/>
    </xf>
    <xf numFmtId="4" fontId="6" fillId="0" borderId="7" xfId="9" applyNumberFormat="1" applyBorder="1" applyAlignment="1">
      <alignment horizontal="left" vertical="center" wrapText="1"/>
    </xf>
    <xf numFmtId="0" fontId="2" fillId="0" borderId="7" xfId="0" applyFont="1" applyBorder="1" applyAlignment="1">
      <alignment horizontal="left" vertical="center" wrapText="1"/>
    </xf>
    <xf numFmtId="14" fontId="2" fillId="2" borderId="4" xfId="0" applyNumberFormat="1" applyFont="1" applyFill="1" applyBorder="1" applyAlignment="1">
      <alignment horizontal="right" vertical="center"/>
    </xf>
    <xf numFmtId="14" fontId="2" fillId="2" borderId="0" xfId="0" applyNumberFormat="1" applyFont="1" applyFill="1" applyAlignment="1">
      <alignment horizontal="right" vertical="center"/>
    </xf>
    <xf numFmtId="14" fontId="2" fillId="2" borderId="6" xfId="0" applyNumberFormat="1" applyFont="1" applyFill="1" applyBorder="1" applyAlignment="1">
      <alignment horizontal="right" vertical="center"/>
    </xf>
    <xf numFmtId="14" fontId="2" fillId="2" borderId="7"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27" borderId="1" xfId="0" applyFont="1" applyFill="1" applyBorder="1" applyAlignment="1">
      <alignment horizontal="right" vertical="center"/>
    </xf>
    <xf numFmtId="0" fontId="2" fillId="27" borderId="4" xfId="0" applyFont="1" applyFill="1" applyBorder="1" applyAlignment="1">
      <alignment horizontal="right" vertical="center"/>
    </xf>
    <xf numFmtId="0" fontId="2" fillId="27" borderId="0" xfId="0" applyFont="1" applyFill="1" applyAlignment="1">
      <alignment horizontal="right" vertical="center"/>
    </xf>
  </cellXfs>
  <cellStyles count="120">
    <cellStyle name="20 % - Akzent1 2" xfId="56" xr:uid="{00000000-0005-0000-0000-000000000000}"/>
    <cellStyle name="20 % - Akzent2 2" xfId="57" xr:uid="{00000000-0005-0000-0000-000001000000}"/>
    <cellStyle name="20 % - Akzent3 2" xfId="58" xr:uid="{00000000-0005-0000-0000-000002000000}"/>
    <cellStyle name="20 % - Akzent4 2" xfId="59" xr:uid="{00000000-0005-0000-0000-000003000000}"/>
    <cellStyle name="20 % - Akzent5 2" xfId="60" xr:uid="{00000000-0005-0000-0000-000004000000}"/>
    <cellStyle name="20 % - Akzent6 2" xfId="61" xr:uid="{00000000-0005-0000-0000-000005000000}"/>
    <cellStyle name="40 % - Akzent1 2" xfId="62" xr:uid="{00000000-0005-0000-0000-000006000000}"/>
    <cellStyle name="40 % - Akzent2 2" xfId="63" xr:uid="{00000000-0005-0000-0000-000007000000}"/>
    <cellStyle name="40 % - Akzent3 2" xfId="64" xr:uid="{00000000-0005-0000-0000-000008000000}"/>
    <cellStyle name="40 % - Akzent4 2" xfId="65" xr:uid="{00000000-0005-0000-0000-000009000000}"/>
    <cellStyle name="40 % - Akzent5 2" xfId="66" xr:uid="{00000000-0005-0000-0000-00000A000000}"/>
    <cellStyle name="40 % - Akzent6 2" xfId="67" xr:uid="{00000000-0005-0000-0000-00000B000000}"/>
    <cellStyle name="60 % - Akzent1 2" xfId="68" xr:uid="{00000000-0005-0000-0000-00000C000000}"/>
    <cellStyle name="60 % - Akzent2 2" xfId="69" xr:uid="{00000000-0005-0000-0000-00000D000000}"/>
    <cellStyle name="60 % - Akzent3 2" xfId="70" xr:uid="{00000000-0005-0000-0000-00000E000000}"/>
    <cellStyle name="60 % - Akzent4 2" xfId="71" xr:uid="{00000000-0005-0000-0000-00000F000000}"/>
    <cellStyle name="60 % - Akzent5 2" xfId="72" xr:uid="{00000000-0005-0000-0000-000010000000}"/>
    <cellStyle name="60 % - Akzent6 2" xfId="73" xr:uid="{00000000-0005-0000-0000-000011000000}"/>
    <cellStyle name="Akzent1 2" xfId="74" xr:uid="{00000000-0005-0000-0000-000012000000}"/>
    <cellStyle name="Akzent2 2" xfId="75" xr:uid="{00000000-0005-0000-0000-000013000000}"/>
    <cellStyle name="Akzent3 2" xfId="76" xr:uid="{00000000-0005-0000-0000-000014000000}"/>
    <cellStyle name="Akzent4 2" xfId="77" xr:uid="{00000000-0005-0000-0000-000015000000}"/>
    <cellStyle name="Akzent5 2" xfId="78" xr:uid="{00000000-0005-0000-0000-000016000000}"/>
    <cellStyle name="Akzent6 2" xfId="79" xr:uid="{00000000-0005-0000-0000-000017000000}"/>
    <cellStyle name="Ausgabe 2" xfId="80" xr:uid="{00000000-0005-0000-0000-000018000000}"/>
    <cellStyle name="Berechnung 2" xfId="81" xr:uid="{00000000-0005-0000-0000-000019000000}"/>
    <cellStyle name="Border Heavy" xfId="30" xr:uid="{00000000-0005-0000-0000-00001A000000}"/>
    <cellStyle name="Border Thin" xfId="31" xr:uid="{00000000-0005-0000-0000-00001B000000}"/>
    <cellStyle name="Date" xfId="32" xr:uid="{00000000-0005-0000-0000-00001E000000}"/>
    <cellStyle name="Eingabe 2" xfId="82" xr:uid="{00000000-0005-0000-0000-00001F000000}"/>
    <cellStyle name="Ergebnis 2" xfId="83" xr:uid="{00000000-0005-0000-0000-000020000000}"/>
    <cellStyle name="Erklärender Text 2" xfId="84" xr:uid="{00000000-0005-0000-0000-000021000000}"/>
    <cellStyle name="Euro" xfId="1" xr:uid="{00000000-0005-0000-0000-000022000000}"/>
    <cellStyle name="Euro 2" xfId="25" xr:uid="{00000000-0005-0000-0000-000023000000}"/>
    <cellStyle name="Euro 2 2" xfId="33" xr:uid="{00000000-0005-0000-0000-000024000000}"/>
    <cellStyle name="Euro 2 3" xfId="118" xr:uid="{00000000-0005-0000-0000-000025000000}"/>
    <cellStyle name="Euro 3" xfId="34" xr:uid="{00000000-0005-0000-0000-000026000000}"/>
    <cellStyle name="Euro 3 2" xfId="85" xr:uid="{00000000-0005-0000-0000-000027000000}"/>
    <cellStyle name="Euro 4" xfId="35" xr:uid="{00000000-0005-0000-0000-000028000000}"/>
    <cellStyle name="Euro 5" xfId="86" xr:uid="{00000000-0005-0000-0000-000029000000}"/>
    <cellStyle name="Euro 6" xfId="116" xr:uid="{00000000-0005-0000-0000-00002A000000}"/>
    <cellStyle name="Gut 2" xfId="87" xr:uid="{00000000-0005-0000-0000-00002B000000}"/>
    <cellStyle name="Hyperlink 2" xfId="88" xr:uid="{00000000-0005-0000-0000-00002D000000}"/>
    <cellStyle name="Komma" xfId="3" builtinId="3"/>
    <cellStyle name="Komma 2" xfId="24" xr:uid="{00000000-0005-0000-0000-00002E000000}"/>
    <cellStyle name="Komma 2 2" xfId="36" xr:uid="{00000000-0005-0000-0000-00002F000000}"/>
    <cellStyle name="Komma 3" xfId="26" xr:uid="{00000000-0005-0000-0000-000030000000}"/>
    <cellStyle name="Komma 3 2" xfId="37" xr:uid="{00000000-0005-0000-0000-000031000000}"/>
    <cellStyle name="Komma 4" xfId="38" xr:uid="{00000000-0005-0000-0000-000032000000}"/>
    <cellStyle name="Komma 4 2" xfId="89" xr:uid="{00000000-0005-0000-0000-000033000000}"/>
    <cellStyle name="Komma 4 3" xfId="90" xr:uid="{00000000-0005-0000-0000-000034000000}"/>
    <cellStyle name="Komma 5" xfId="39" xr:uid="{00000000-0005-0000-0000-000035000000}"/>
    <cellStyle name="Komma 6" xfId="91" xr:uid="{00000000-0005-0000-0000-000036000000}"/>
    <cellStyle name="Komma 7" xfId="92" xr:uid="{00000000-0005-0000-0000-000037000000}"/>
    <cellStyle name="Komma 8" xfId="93" xr:uid="{00000000-0005-0000-0000-000038000000}"/>
    <cellStyle name="Komma 9" xfId="115" xr:uid="{00000000-0005-0000-0000-000039000000}"/>
    <cellStyle name="Link" xfId="2" builtinId="8"/>
    <cellStyle name="Multiple" xfId="40" xr:uid="{00000000-0005-0000-0000-00003A000000}"/>
    <cellStyle name="Neutral 2" xfId="94" xr:uid="{00000000-0005-0000-0000-00003B000000}"/>
    <cellStyle name="Normal_Concentration_1" xfId="4" xr:uid="{00000000-0005-0000-0000-00003D000000}"/>
    <cellStyle name="Normal_Insurances_1" xfId="5" xr:uid="{00000000-0005-0000-0000-00003E000000}"/>
    <cellStyle name="Normal_Object Type_1" xfId="6" xr:uid="{00000000-0005-0000-0000-00003F000000}"/>
    <cellStyle name="Normal_Obligor Region" xfId="7" xr:uid="{00000000-0005-0000-0000-000040000000}"/>
    <cellStyle name="Normal_Original PB" xfId="8" xr:uid="{00000000-0005-0000-0000-000041000000}"/>
    <cellStyle name="Normal_Original PB_1" xfId="9" xr:uid="{00000000-0005-0000-0000-000042000000}"/>
    <cellStyle name="Normal_Original Term_1" xfId="10" xr:uid="{00000000-0005-0000-0000-000043000000}"/>
    <cellStyle name="Normal_Payment_1" xfId="11" xr:uid="{00000000-0005-0000-0000-000044000000}"/>
    <cellStyle name="Normal_Remaining Term_1" xfId="12" xr:uid="{00000000-0005-0000-0000-000045000000}"/>
    <cellStyle name="Normal_Seasoning_1" xfId="13" xr:uid="{00000000-0005-0000-0000-000046000000}"/>
    <cellStyle name="Normal_Sheet1" xfId="14" xr:uid="{00000000-0005-0000-0000-000047000000}"/>
    <cellStyle name="Normal_Yield" xfId="15" xr:uid="{00000000-0005-0000-0000-000048000000}"/>
    <cellStyle name="Normal_Yield_1" xfId="16" xr:uid="{00000000-0005-0000-0000-000049000000}"/>
    <cellStyle name="Notiz 2" xfId="95" xr:uid="{00000000-0005-0000-0000-00004A000000}"/>
    <cellStyle name="Page Heading Large" xfId="41" xr:uid="{00000000-0005-0000-0000-00004B000000}"/>
    <cellStyle name="Page Heading Small" xfId="42" xr:uid="{00000000-0005-0000-0000-00004C000000}"/>
    <cellStyle name="Percent Hard" xfId="43" xr:uid="{00000000-0005-0000-0000-00004E000000}"/>
    <cellStyle name="Prozent" xfId="17" builtinId="5"/>
    <cellStyle name="Prozent 2" xfId="27" xr:uid="{00000000-0005-0000-0000-00004F000000}"/>
    <cellStyle name="Prozent 2 2" xfId="44" xr:uid="{00000000-0005-0000-0000-000050000000}"/>
    <cellStyle name="Prozent 3" xfId="28" xr:uid="{00000000-0005-0000-0000-000051000000}"/>
    <cellStyle name="Prozent 3 2" xfId="45" xr:uid="{00000000-0005-0000-0000-000052000000}"/>
    <cellStyle name="Prozent 4" xfId="46" xr:uid="{00000000-0005-0000-0000-000053000000}"/>
    <cellStyle name="Prozent 4 2" xfId="96" xr:uid="{00000000-0005-0000-0000-000054000000}"/>
    <cellStyle name="Prozent 4 3" xfId="97" xr:uid="{00000000-0005-0000-0000-000055000000}"/>
    <cellStyle name="Prozent 5" xfId="47" xr:uid="{00000000-0005-0000-0000-000056000000}"/>
    <cellStyle name="Prozent 6" xfId="98" xr:uid="{00000000-0005-0000-0000-000057000000}"/>
    <cellStyle name="Prozent 7" xfId="99" xr:uid="{00000000-0005-0000-0000-000058000000}"/>
    <cellStyle name="Prozent 8" xfId="100" xr:uid="{00000000-0005-0000-0000-000059000000}"/>
    <cellStyle name="Schlecht 2" xfId="101" xr:uid="{00000000-0005-0000-0000-00005A000000}"/>
    <cellStyle name="Shaded" xfId="48" xr:uid="{00000000-0005-0000-0000-00005B000000}"/>
    <cellStyle name="Standard" xfId="0" builtinId="0"/>
    <cellStyle name="Standard 2" xfId="23" xr:uid="{00000000-0005-0000-0000-00005C000000}"/>
    <cellStyle name="Standard 2 2" xfId="49" xr:uid="{00000000-0005-0000-0000-00005D000000}"/>
    <cellStyle name="Standard 2 3" xfId="102" xr:uid="{00000000-0005-0000-0000-00005E000000}"/>
    <cellStyle name="Standard 3" xfId="29" xr:uid="{00000000-0005-0000-0000-00005F000000}"/>
    <cellStyle name="Standard 3 2" xfId="103" xr:uid="{00000000-0005-0000-0000-000060000000}"/>
    <cellStyle name="Standard 4" xfId="104" xr:uid="{00000000-0005-0000-0000-000061000000}"/>
    <cellStyle name="Standard_Current PB" xfId="18" xr:uid="{00000000-0005-0000-0000-000062000000}"/>
    <cellStyle name="Standard_Obligor Region" xfId="19" xr:uid="{00000000-0005-0000-0000-000063000000}"/>
    <cellStyle name="Standard_Original PB" xfId="20" xr:uid="{00000000-0005-0000-0000-000064000000}"/>
    <cellStyle name="Standard_Seasoning" xfId="21" xr:uid="{00000000-0005-0000-0000-000065000000}"/>
    <cellStyle name="Standard_Tabelle1" xfId="22" xr:uid="{00000000-0005-0000-0000-000066000000}"/>
    <cellStyle name="Table Col Head" xfId="50" xr:uid="{00000000-0005-0000-0000-000067000000}"/>
    <cellStyle name="Table Sub Head" xfId="51" xr:uid="{00000000-0005-0000-0000-000068000000}"/>
    <cellStyle name="Table Title" xfId="52" xr:uid="{00000000-0005-0000-0000-000069000000}"/>
    <cellStyle name="Table Units" xfId="53" xr:uid="{00000000-0005-0000-0000-00006A000000}"/>
    <cellStyle name="Überschrift 1 2" xfId="105" xr:uid="{00000000-0005-0000-0000-00006B000000}"/>
    <cellStyle name="Überschrift 2 2" xfId="106" xr:uid="{00000000-0005-0000-0000-00006C000000}"/>
    <cellStyle name="Überschrift 3 2" xfId="107" xr:uid="{00000000-0005-0000-0000-00006D000000}"/>
    <cellStyle name="Überschrift 4 2" xfId="108" xr:uid="{00000000-0005-0000-0000-00006E000000}"/>
    <cellStyle name="Überschrift 5" xfId="109" xr:uid="{00000000-0005-0000-0000-00006F000000}"/>
    <cellStyle name="Verknüpfte Zelle 2" xfId="110" xr:uid="{00000000-0005-0000-0000-000070000000}"/>
    <cellStyle name="Währung" xfId="119" builtinId="4"/>
    <cellStyle name="Währung 2" xfId="54" xr:uid="{00000000-0005-0000-0000-000071000000}"/>
    <cellStyle name="Währung 3" xfId="111" xr:uid="{00000000-0005-0000-0000-000072000000}"/>
    <cellStyle name="Währung 4" xfId="112" xr:uid="{00000000-0005-0000-0000-000073000000}"/>
    <cellStyle name="Währung 5" xfId="117" xr:uid="{00000000-0005-0000-0000-000074000000}"/>
    <cellStyle name="Warnender Text 2" xfId="113" xr:uid="{00000000-0005-0000-0000-000075000000}"/>
    <cellStyle name="Year" xfId="55" xr:uid="{00000000-0005-0000-0000-000076000000}"/>
    <cellStyle name="Zelle überprüfen 2" xfId="114" xr:uid="{00000000-0005-0000-0000-000077000000}"/>
  </cellStyles>
  <dxfs count="7">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1566489.4200000016</c:v>
                </c:pt>
                <c:pt idx="1">
                  <c:v>13727352.369999796</c:v>
                </c:pt>
                <c:pt idx="2">
                  <c:v>30282952.450000431</c:v>
                </c:pt>
                <c:pt idx="3">
                  <c:v>40393681.299999952</c:v>
                </c:pt>
                <c:pt idx="4">
                  <c:v>37258402.669999972</c:v>
                </c:pt>
                <c:pt idx="5">
                  <c:v>59097065.689998724</c:v>
                </c:pt>
                <c:pt idx="6">
                  <c:v>45786236.23000019</c:v>
                </c:pt>
                <c:pt idx="7">
                  <c:v>57833629.189999685</c:v>
                </c:pt>
                <c:pt idx="8">
                  <c:v>41901521.860000148</c:v>
                </c:pt>
                <c:pt idx="9">
                  <c:v>44534932.770000033</c:v>
                </c:pt>
                <c:pt idx="10">
                  <c:v>69815431.349999413</c:v>
                </c:pt>
                <c:pt idx="11">
                  <c:v>46557478.369999997</c:v>
                </c:pt>
                <c:pt idx="12">
                  <c:v>58028627.97000017</c:v>
                </c:pt>
                <c:pt idx="13">
                  <c:v>53411314.200000189</c:v>
                </c:pt>
                <c:pt idx="14">
                  <c:v>42806707.709999934</c:v>
                </c:pt>
                <c:pt idx="15">
                  <c:v>67629446.790000036</c:v>
                </c:pt>
                <c:pt idx="16">
                  <c:v>40844136.050000004</c:v>
                </c:pt>
                <c:pt idx="17">
                  <c:v>48302469.449999988</c:v>
                </c:pt>
                <c:pt idx="18">
                  <c:v>45376923.17999994</c:v>
                </c:pt>
                <c:pt idx="19">
                  <c:v>35937176.099999994</c:v>
                </c:pt>
                <c:pt idx="20">
                  <c:v>56868047.649999782</c:v>
                </c:pt>
                <c:pt idx="21">
                  <c:v>34987948.95000001</c:v>
                </c:pt>
                <c:pt idx="22">
                  <c:v>36250143.840000041</c:v>
                </c:pt>
                <c:pt idx="23">
                  <c:v>35929263.86999993</c:v>
                </c:pt>
                <c:pt idx="24">
                  <c:v>27660385.969999995</c:v>
                </c:pt>
                <c:pt idx="25">
                  <c:v>43200414.709999979</c:v>
                </c:pt>
                <c:pt idx="26">
                  <c:v>37271221.849999979</c:v>
                </c:pt>
                <c:pt idx="27">
                  <c:v>26933109.780000005</c:v>
                </c:pt>
                <c:pt idx="28">
                  <c:v>23836823.139999986</c:v>
                </c:pt>
                <c:pt idx="29">
                  <c:v>21453714.25</c:v>
                </c:pt>
                <c:pt idx="30">
                  <c:v>25969565.780000005</c:v>
                </c:pt>
                <c:pt idx="31">
                  <c:v>20896495.070000011</c:v>
                </c:pt>
                <c:pt idx="32">
                  <c:v>18191544.519999996</c:v>
                </c:pt>
                <c:pt idx="33">
                  <c:v>15416778.970000006</c:v>
                </c:pt>
                <c:pt idx="34">
                  <c:v>13658429.370000003</c:v>
                </c:pt>
                <c:pt idx="35">
                  <c:v>18061469.310000002</c:v>
                </c:pt>
                <c:pt idx="36">
                  <c:v>14884519.990000004</c:v>
                </c:pt>
                <c:pt idx="37">
                  <c:v>25709944.609999985</c:v>
                </c:pt>
                <c:pt idx="38">
                  <c:v>10001795.049999995</c:v>
                </c:pt>
                <c:pt idx="39">
                  <c:v>20319349.529999979</c:v>
                </c:pt>
                <c:pt idx="40">
                  <c:v>12068514.910000004</c:v>
                </c:pt>
                <c:pt idx="41">
                  <c:v>11036999.75</c:v>
                </c:pt>
                <c:pt idx="42">
                  <c:v>7636491.9300000025</c:v>
                </c:pt>
                <c:pt idx="43">
                  <c:v>5207841.75</c:v>
                </c:pt>
                <c:pt idx="44">
                  <c:v>3461395.0199999986</c:v>
                </c:pt>
                <c:pt idx="45">
                  <c:v>1725772.0299999998</c:v>
                </c:pt>
                <c:pt idx="46">
                  <c:v>1300680.1299999999</c:v>
                </c:pt>
                <c:pt idx="47">
                  <c:v>666244.34000000008</c:v>
                </c:pt>
                <c:pt idx="48">
                  <c:v>96219.520000000004</c:v>
                </c:pt>
                <c:pt idx="49">
                  <c:v>396412.5</c:v>
                </c:pt>
                <c:pt idx="50">
                  <c:v>1995557.12</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507211600"/>
        <c:axId val="507211992"/>
      </c:barChart>
      <c:catAx>
        <c:axId val="50721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1992"/>
        <c:crosses val="autoZero"/>
        <c:auto val="1"/>
        <c:lblAlgn val="ctr"/>
        <c:lblOffset val="100"/>
        <c:tickLblSkip val="1"/>
        <c:tickMarkSkip val="1"/>
        <c:noMultiLvlLbl val="0"/>
      </c:catAx>
      <c:valAx>
        <c:axId val="50721199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6392218.6100000311</c:v>
                </c:pt>
                <c:pt idx="1">
                  <c:v>20554455.050000094</c:v>
                </c:pt>
                <c:pt idx="2">
                  <c:v>32497788.519999936</c:v>
                </c:pt>
                <c:pt idx="3">
                  <c:v>42155390.219999991</c:v>
                </c:pt>
                <c:pt idx="4">
                  <c:v>45725301.04999999</c:v>
                </c:pt>
                <c:pt idx="5">
                  <c:v>43262990.679999918</c:v>
                </c:pt>
                <c:pt idx="6">
                  <c:v>47664110.579999894</c:v>
                </c:pt>
                <c:pt idx="7">
                  <c:v>46950986.40999987</c:v>
                </c:pt>
                <c:pt idx="8">
                  <c:v>53547170.680000097</c:v>
                </c:pt>
                <c:pt idx="9">
                  <c:v>49229387.389999978</c:v>
                </c:pt>
                <c:pt idx="10">
                  <c:v>50709313.100000091</c:v>
                </c:pt>
                <c:pt idx="11">
                  <c:v>47775077.809999995</c:v>
                </c:pt>
                <c:pt idx="12">
                  <c:v>46733913.600000039</c:v>
                </c:pt>
                <c:pt idx="13">
                  <c:v>46913965.959999911</c:v>
                </c:pt>
                <c:pt idx="14">
                  <c:v>42749315.900000066</c:v>
                </c:pt>
                <c:pt idx="15">
                  <c:v>43081489.850000016</c:v>
                </c:pt>
                <c:pt idx="16">
                  <c:v>40259579.669999957</c:v>
                </c:pt>
                <c:pt idx="17">
                  <c:v>40270140.340000011</c:v>
                </c:pt>
                <c:pt idx="18">
                  <c:v>34165282.889999978</c:v>
                </c:pt>
                <c:pt idx="19">
                  <c:v>34143412.349999979</c:v>
                </c:pt>
                <c:pt idx="20">
                  <c:v>34693737.119999997</c:v>
                </c:pt>
                <c:pt idx="21">
                  <c:v>30228027.849999975</c:v>
                </c:pt>
                <c:pt idx="22">
                  <c:v>29181387.570000004</c:v>
                </c:pt>
                <c:pt idx="23">
                  <c:v>24330861.459999986</c:v>
                </c:pt>
                <c:pt idx="24">
                  <c:v>22907992.779999994</c:v>
                </c:pt>
                <c:pt idx="25">
                  <c:v>19228976.599999998</c:v>
                </c:pt>
                <c:pt idx="26">
                  <c:v>18574728.16</c:v>
                </c:pt>
                <c:pt idx="27">
                  <c:v>15072258.019999988</c:v>
                </c:pt>
                <c:pt idx="28">
                  <c:v>15320661.589999998</c:v>
                </c:pt>
                <c:pt idx="29">
                  <c:v>16331983.380000001</c:v>
                </c:pt>
                <c:pt idx="30">
                  <c:v>14515583.630000005</c:v>
                </c:pt>
                <c:pt idx="31">
                  <c:v>14566210.980000015</c:v>
                </c:pt>
                <c:pt idx="32">
                  <c:v>14741862.299999988</c:v>
                </c:pt>
                <c:pt idx="33">
                  <c:v>11650502.429999994</c:v>
                </c:pt>
                <c:pt idx="34">
                  <c:v>9447359.320000004</c:v>
                </c:pt>
                <c:pt idx="35">
                  <c:v>7223369.9299999997</c:v>
                </c:pt>
                <c:pt idx="36">
                  <c:v>6777977.0700000012</c:v>
                </c:pt>
                <c:pt idx="37">
                  <c:v>4112425.8799999994</c:v>
                </c:pt>
                <c:pt idx="38">
                  <c:v>3462051.8</c:v>
                </c:pt>
                <c:pt idx="39">
                  <c:v>1181703.9500000002</c:v>
                </c:pt>
                <c:pt idx="40">
                  <c:v>3412781.290000001</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507212776"/>
        <c:axId val="507213560"/>
      </c:barChart>
      <c:catAx>
        <c:axId val="507212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3560"/>
        <c:crosses val="autoZero"/>
        <c:auto val="1"/>
        <c:lblAlgn val="ctr"/>
        <c:lblOffset val="100"/>
        <c:tickLblSkip val="1"/>
        <c:tickMarkSkip val="1"/>
        <c:noMultiLvlLbl val="0"/>
      </c:catAx>
      <c:valAx>
        <c:axId val="50721356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277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Saxony</c:v>
                </c:pt>
                <c:pt idx="13">
                  <c:v>Saxony-Anhalt</c:v>
                </c:pt>
                <c:pt idx="14">
                  <c:v>Schleswig-Holstein</c:v>
                </c:pt>
                <c:pt idx="15">
                  <c:v>Thuringia</c:v>
                </c:pt>
                <c:pt idx="16">
                  <c:v>n/a</c:v>
                </c:pt>
              </c:strCache>
            </c:strRef>
          </c:cat>
          <c:val>
            <c:numRef>
              <c:f>'9. Geographical Distribution'!$E$14:$E$30</c:f>
              <c:numCache>
                <c:formatCode>#,##0.00</c:formatCode>
                <c:ptCount val="17"/>
                <c:pt idx="0">
                  <c:v>156143069.70999986</c:v>
                </c:pt>
                <c:pt idx="1">
                  <c:v>149609463.65000051</c:v>
                </c:pt>
                <c:pt idx="2">
                  <c:v>46941311.829999894</c:v>
                </c:pt>
                <c:pt idx="3">
                  <c:v>42840210.479999855</c:v>
                </c:pt>
                <c:pt idx="4">
                  <c:v>12115516.90000001</c:v>
                </c:pt>
                <c:pt idx="5">
                  <c:v>19367101.520000011</c:v>
                </c:pt>
                <c:pt idx="6">
                  <c:v>82454174.539999947</c:v>
                </c:pt>
                <c:pt idx="7">
                  <c:v>116454448.68000014</c:v>
                </c:pt>
                <c:pt idx="8">
                  <c:v>33369201.790000033</c:v>
                </c:pt>
                <c:pt idx="9">
                  <c:v>242538102.92000028</c:v>
                </c:pt>
                <c:pt idx="10">
                  <c:v>57910970.210000046</c:v>
                </c:pt>
                <c:pt idx="11">
                  <c:v>17216740.820000038</c:v>
                </c:pt>
                <c:pt idx="12">
                  <c:v>45223139.499999851</c:v>
                </c:pt>
                <c:pt idx="13">
                  <c:v>37914718.750000037</c:v>
                </c:pt>
                <c:pt idx="14">
                  <c:v>38525982.980000101</c:v>
                </c:pt>
                <c:pt idx="15">
                  <c:v>32104040.710000046</c:v>
                </c:pt>
                <c:pt idx="16">
                  <c:v>1015538.78</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508835408"/>
        <c:axId val="508834232"/>
      </c:barChart>
      <c:catAx>
        <c:axId val="50883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8834232"/>
        <c:crosses val="autoZero"/>
        <c:auto val="1"/>
        <c:lblAlgn val="ctr"/>
        <c:lblOffset val="100"/>
        <c:tickLblSkip val="1"/>
        <c:tickMarkSkip val="1"/>
        <c:noMultiLvlLbl val="0"/>
      </c:catAx>
      <c:valAx>
        <c:axId val="5088342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540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73006.44</c:v>
                </c:pt>
                <c:pt idx="1">
                  <c:v>810547.09999999986</c:v>
                </c:pt>
                <c:pt idx="2">
                  <c:v>13219779.93</c:v>
                </c:pt>
                <c:pt idx="3">
                  <c:v>11710353.499999991</c:v>
                </c:pt>
                <c:pt idx="4">
                  <c:v>22890754.150000043</c:v>
                </c:pt>
                <c:pt idx="5">
                  <c:v>57861115.320000067</c:v>
                </c:pt>
                <c:pt idx="6">
                  <c:v>106058662.96999988</c:v>
                </c:pt>
                <c:pt idx="7">
                  <c:v>208494314.20999977</c:v>
                </c:pt>
                <c:pt idx="8">
                  <c:v>288452718.26000035</c:v>
                </c:pt>
                <c:pt idx="9">
                  <c:v>247574261.23999971</c:v>
                </c:pt>
                <c:pt idx="10">
                  <c:v>101400068.0400005</c:v>
                </c:pt>
                <c:pt idx="11">
                  <c:v>53627426.120000064</c:v>
                </c:pt>
                <c:pt idx="12">
                  <c:v>13601290.039999992</c:v>
                </c:pt>
                <c:pt idx="13">
                  <c:v>5969436.450000002</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508833448"/>
        <c:axId val="508833840"/>
      </c:barChart>
      <c:catAx>
        <c:axId val="50883344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3840"/>
        <c:crosses val="autoZero"/>
        <c:auto val="1"/>
        <c:lblAlgn val="ctr"/>
        <c:lblOffset val="100"/>
        <c:tickLblSkip val="1"/>
        <c:tickMarkSkip val="1"/>
        <c:noMultiLvlLbl val="0"/>
      </c:catAx>
      <c:valAx>
        <c:axId val="5088338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34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0</c:v>
                </c:pt>
                <c:pt idx="1">
                  <c:v>0</c:v>
                </c:pt>
                <c:pt idx="2">
                  <c:v>0</c:v>
                </c:pt>
                <c:pt idx="3">
                  <c:v>12162454.799999997</c:v>
                </c:pt>
                <c:pt idx="4">
                  <c:v>56718617.710000008</c:v>
                </c:pt>
                <c:pt idx="5">
                  <c:v>125676599.70999999</c:v>
                </c:pt>
                <c:pt idx="6">
                  <c:v>274029791.59999955</c:v>
                </c:pt>
                <c:pt idx="7">
                  <c:v>188524713.75000027</c:v>
                </c:pt>
                <c:pt idx="8">
                  <c:v>243410927.27000046</c:v>
                </c:pt>
                <c:pt idx="9">
                  <c:v>85981397.929999769</c:v>
                </c:pt>
                <c:pt idx="10">
                  <c:v>49791176.870000072</c:v>
                </c:pt>
                <c:pt idx="11">
                  <c:v>33770497.100000039</c:v>
                </c:pt>
                <c:pt idx="12">
                  <c:v>25610958.469999958</c:v>
                </c:pt>
                <c:pt idx="13">
                  <c:v>17757004.579999991</c:v>
                </c:pt>
                <c:pt idx="14">
                  <c:v>9445442.1799999978</c:v>
                </c:pt>
                <c:pt idx="15">
                  <c:v>5454894.6599999946</c:v>
                </c:pt>
                <c:pt idx="16">
                  <c:v>1233242.6300000004</c:v>
                </c:pt>
                <c:pt idx="17">
                  <c:v>624225.33000000007</c:v>
                </c:pt>
                <c:pt idx="18">
                  <c:v>406085.07</c:v>
                </c:pt>
                <c:pt idx="19">
                  <c:v>497467.36</c:v>
                </c:pt>
                <c:pt idx="20">
                  <c:v>192342.63000000006</c:v>
                </c:pt>
                <c:pt idx="21">
                  <c:v>107686.01</c:v>
                </c:pt>
                <c:pt idx="22">
                  <c:v>132720.63</c:v>
                </c:pt>
                <c:pt idx="23">
                  <c:v>103614.45</c:v>
                </c:pt>
                <c:pt idx="24">
                  <c:v>26100.47</c:v>
                </c:pt>
                <c:pt idx="25">
                  <c:v>36452.820000000007</c:v>
                </c:pt>
                <c:pt idx="26">
                  <c:v>24550.29</c:v>
                </c:pt>
                <c:pt idx="27">
                  <c:v>24769.449999999997</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508834624"/>
        <c:axId val="508838544"/>
      </c:barChart>
      <c:catAx>
        <c:axId val="50883462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8544"/>
        <c:crosses val="autoZero"/>
        <c:auto val="1"/>
        <c:lblAlgn val="ctr"/>
        <c:lblOffset val="100"/>
        <c:tickLblSkip val="1"/>
        <c:tickMarkSkip val="1"/>
        <c:noMultiLvlLbl val="0"/>
      </c:catAx>
      <c:valAx>
        <c:axId val="50883854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462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1301424.4899999988</c:v>
                </c:pt>
                <c:pt idx="1">
                  <c:v>4482697.4999999981</c:v>
                </c:pt>
                <c:pt idx="2">
                  <c:v>8588084.2000000067</c:v>
                </c:pt>
                <c:pt idx="3">
                  <c:v>13310577.980000008</c:v>
                </c:pt>
                <c:pt idx="4">
                  <c:v>19530019.99999994</c:v>
                </c:pt>
                <c:pt idx="5">
                  <c:v>24664032.839999985</c:v>
                </c:pt>
                <c:pt idx="6">
                  <c:v>36354002.109999925</c:v>
                </c:pt>
                <c:pt idx="7">
                  <c:v>47952346.370000072</c:v>
                </c:pt>
                <c:pt idx="8">
                  <c:v>88988592.730000108</c:v>
                </c:pt>
                <c:pt idx="9">
                  <c:v>135355544.30999956</c:v>
                </c:pt>
                <c:pt idx="10">
                  <c:v>335498997.30000037</c:v>
                </c:pt>
                <c:pt idx="11">
                  <c:v>334041090.74999994</c:v>
                </c:pt>
                <c:pt idx="12">
                  <c:v>76112239.550000012</c:v>
                </c:pt>
                <c:pt idx="13">
                  <c:v>5377356.4000000013</c:v>
                </c:pt>
                <c:pt idx="14">
                  <c:v>186727.24000000002</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349860840"/>
        <c:axId val="508835016"/>
      </c:barChart>
      <c:catAx>
        <c:axId val="34986084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5016"/>
        <c:crosses val="autoZero"/>
        <c:auto val="1"/>
        <c:lblAlgn val="ctr"/>
        <c:lblOffset val="100"/>
        <c:tickLblSkip val="1"/>
        <c:tickMarkSkip val="1"/>
        <c:noMultiLvlLbl val="0"/>
      </c:catAx>
      <c:valAx>
        <c:axId val="50883501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34986084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18.780000000001564</c:v>
                </c:pt>
                <c:pt idx="1">
                  <c:v>140833.49</c:v>
                </c:pt>
                <c:pt idx="2">
                  <c:v>1879348.7300000021</c:v>
                </c:pt>
                <c:pt idx="3">
                  <c:v>1367416.2700000003</c:v>
                </c:pt>
                <c:pt idx="4">
                  <c:v>9468672.2200000212</c:v>
                </c:pt>
                <c:pt idx="5">
                  <c:v>4398820.01</c:v>
                </c:pt>
                <c:pt idx="6">
                  <c:v>22125304.369999934</c:v>
                </c:pt>
                <c:pt idx="7">
                  <c:v>35898875.659999959</c:v>
                </c:pt>
                <c:pt idx="8">
                  <c:v>11340521.850000007</c:v>
                </c:pt>
                <c:pt idx="9">
                  <c:v>40694073.499999911</c:v>
                </c:pt>
                <c:pt idx="10">
                  <c:v>18166810.270000007</c:v>
                </c:pt>
                <c:pt idx="11">
                  <c:v>104336016.05000027</c:v>
                </c:pt>
                <c:pt idx="12">
                  <c:v>629307632.00000131</c:v>
                </c:pt>
                <c:pt idx="13">
                  <c:v>221493041.7699993</c:v>
                </c:pt>
                <c:pt idx="14">
                  <c:v>29686634.100000001</c:v>
                </c:pt>
                <c:pt idx="15">
                  <c:v>1439714.6999999995</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513619536"/>
        <c:axId val="513621104"/>
      </c:barChart>
      <c:catAx>
        <c:axId val="51361953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13621104"/>
        <c:crosses val="autoZero"/>
        <c:auto val="1"/>
        <c:lblAlgn val="ctr"/>
        <c:lblOffset val="100"/>
        <c:tickLblSkip val="1"/>
        <c:tickMarkSkip val="1"/>
        <c:noMultiLvlLbl val="0"/>
      </c:catAx>
      <c:valAx>
        <c:axId val="5136211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1361953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2024-1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184148</xdr:colOff>
      <xdr:row>52</xdr:row>
      <xdr:rowOff>31194</xdr:rowOff>
    </xdr:from>
    <xdr:to>
      <xdr:col>3</xdr:col>
      <xdr:colOff>610898</xdr:colOff>
      <xdr:row>57</xdr:row>
      <xdr:rowOff>182310</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48" y="8286194"/>
          <a:ext cx="2808000" cy="944866"/>
        </a:xfrm>
        <a:prstGeom prst="rect">
          <a:avLst/>
        </a:prstGeom>
      </xdr:spPr>
    </xdr:pic>
    <xdr:clientData/>
  </xdr:twoCellAnchor>
  <xdr:twoCellAnchor editAs="oneCell">
    <xdr:from>
      <xdr:col>0</xdr:col>
      <xdr:colOff>174181</xdr:colOff>
      <xdr:row>42</xdr:row>
      <xdr:rowOff>47646</xdr:rowOff>
    </xdr:from>
    <xdr:to>
      <xdr:col>3</xdr:col>
      <xdr:colOff>607281</xdr:colOff>
      <xdr:row>51</xdr:row>
      <xdr:rowOff>86493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74181" y="6715146"/>
          <a:ext cx="2814350" cy="1467597"/>
        </a:xfrm>
        <a:prstGeom prst="rect">
          <a:avLst/>
        </a:prstGeom>
      </xdr:spPr>
    </xdr:pic>
    <xdr:clientData/>
  </xdr:twoCellAnchor>
  <xdr:twoCellAnchor editAs="oneCell">
    <xdr:from>
      <xdr:col>18</xdr:col>
      <xdr:colOff>381000</xdr:colOff>
      <xdr:row>13</xdr:row>
      <xdr:rowOff>63500</xdr:rowOff>
    </xdr:from>
    <xdr:to>
      <xdr:col>20</xdr:col>
      <xdr:colOff>517022</xdr:colOff>
      <xdr:row>57</xdr:row>
      <xdr:rowOff>27603</xdr:rowOff>
    </xdr:to>
    <xdr:pic>
      <xdr:nvPicPr>
        <xdr:cNvPr id="3" name="Grafik 2">
          <a:extLst>
            <a:ext uri="{FF2B5EF4-FFF2-40B4-BE49-F238E27FC236}">
              <a16:creationId xmlns:a16="http://schemas.microsoft.com/office/drawing/2014/main" id="{EA633CBD-4E3C-4A9A-D648-78F0FEDB98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668500" y="2127250"/>
          <a:ext cx="1723522" cy="69491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169923</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595993</xdr:colOff>
      <xdr:row>10</xdr:row>
      <xdr:rowOff>178178</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140532</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178178</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11718</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466725</xdr:colOff>
      <xdr:row>11</xdr:row>
      <xdr:rowOff>8996</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2406650</xdr:colOff>
      <xdr:row>11</xdr:row>
      <xdr:rowOff>116946</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1054100</xdr:colOff>
      <xdr:row>10</xdr:row>
      <xdr:rowOff>181353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2407444</xdr:colOff>
      <xdr:row>10</xdr:row>
      <xdr:rowOff>178178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60" zoomScaleNormal="55" workbookViewId="0">
      <selection activeCell="B3" sqref="B3"/>
    </sheetView>
  </sheetViews>
  <sheetFormatPr baseColWidth="10" defaultColWidth="11.453125" defaultRowHeight="12.5"/>
  <cols>
    <col min="1" max="16384" width="11.453125" style="18"/>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T55"/>
  <sheetViews>
    <sheetView view="pageBreakPreview" zoomScale="80" zoomScaleNormal="70" zoomScaleSheetLayoutView="80" zoomScalePageLayoutView="60" workbookViewId="0">
      <selection activeCell="B3" sqref="B3"/>
    </sheetView>
  </sheetViews>
  <sheetFormatPr baseColWidth="10" defaultColWidth="9.1796875" defaultRowHeight="12.5"/>
  <cols>
    <col min="1" max="1" width="1.1796875" style="22" customWidth="1"/>
    <col min="2" max="2" width="50.81640625" style="22" customWidth="1"/>
    <col min="3" max="3" width="19.54296875" style="22" bestFit="1" customWidth="1"/>
    <col min="4" max="4" width="27.453125" style="22" bestFit="1" customWidth="1"/>
    <col min="5" max="5" width="4.81640625" style="22" customWidth="1"/>
    <col min="6" max="6" width="24.54296875" style="22" bestFit="1" customWidth="1"/>
    <col min="7" max="7" width="4.81640625" style="22" customWidth="1"/>
    <col min="8" max="8" width="27.81640625" style="22" bestFit="1" customWidth="1"/>
    <col min="9" max="9" width="4.81640625" style="22" customWidth="1"/>
    <col min="10" max="10" width="30.54296875" style="22" bestFit="1" customWidth="1"/>
    <col min="11" max="11" width="4.81640625" style="22" customWidth="1"/>
    <col min="12" max="12" width="30.54296875" style="22" bestFit="1" customWidth="1"/>
    <col min="13" max="13" width="4.81640625" style="22" customWidth="1"/>
    <col min="14" max="14" width="29.453125" style="22" bestFit="1" customWidth="1"/>
    <col min="15" max="16" width="4.81640625" style="22" customWidth="1"/>
    <col min="17" max="17" width="10.81640625" style="22" customWidth="1"/>
    <col min="18" max="18" width="1.1796875" style="22" customWidth="1"/>
    <col min="19" max="19" width="38.54296875" style="605" customWidth="1"/>
    <col min="20" max="20" width="15.81640625" style="5" customWidth="1"/>
    <col min="21" max="21" width="17.81640625" style="22" customWidth="1"/>
    <col min="22" max="16384" width="9.1796875" style="22"/>
  </cols>
  <sheetData>
    <row r="1" spans="1:20" ht="6" customHeight="1">
      <c r="A1" s="222"/>
      <c r="B1" s="223"/>
      <c r="C1" s="223"/>
      <c r="D1" s="223"/>
      <c r="E1" s="223"/>
      <c r="F1" s="223"/>
      <c r="G1" s="223"/>
      <c r="H1" s="223"/>
      <c r="I1" s="223"/>
      <c r="J1" s="223"/>
      <c r="K1" s="223"/>
      <c r="L1" s="223"/>
      <c r="M1" s="223"/>
      <c r="N1" s="223"/>
      <c r="O1" s="223"/>
      <c r="P1" s="223"/>
      <c r="Q1" s="223"/>
      <c r="R1" s="224"/>
    </row>
    <row r="2" spans="1:20" ht="18">
      <c r="A2" s="225"/>
      <c r="B2" s="226" t="str">
        <f>'Cover Sheet'!B2</f>
        <v>SC Germany Consumer 2024-1</v>
      </c>
      <c r="D2" s="227" t="s">
        <v>50</v>
      </c>
      <c r="E2" s="228"/>
      <c r="F2" s="229">
        <f>'Cover Sheet'!F2</f>
        <v>45911</v>
      </c>
      <c r="G2" s="228"/>
      <c r="H2" s="228"/>
      <c r="I2" s="228"/>
      <c r="J2" s="228"/>
      <c r="K2" s="228"/>
      <c r="L2" s="228"/>
      <c r="M2" s="228"/>
      <c r="N2" s="228"/>
      <c r="O2" s="228"/>
      <c r="P2" s="228"/>
      <c r="Q2" s="230"/>
      <c r="R2" s="94"/>
      <c r="S2" s="38"/>
    </row>
    <row r="3" spans="1:20" ht="18">
      <c r="A3" s="225"/>
      <c r="B3" s="226" t="str">
        <f>'Cover Sheet'!B3</f>
        <v>Monthly Investor Report</v>
      </c>
      <c r="D3" s="232" t="s">
        <v>2</v>
      </c>
      <c r="E3" s="233"/>
      <c r="F3" s="234">
        <f>'Cover Sheet'!F3</f>
        <v>45915</v>
      </c>
      <c r="G3" s="233"/>
      <c r="H3" s="233"/>
      <c r="I3" s="233"/>
      <c r="J3" s="233"/>
      <c r="K3" s="233"/>
      <c r="L3" s="233"/>
      <c r="M3" s="233"/>
      <c r="N3" s="233"/>
      <c r="O3" s="233"/>
      <c r="P3" s="233"/>
      <c r="Q3" s="235"/>
      <c r="R3" s="94"/>
      <c r="S3" s="38"/>
    </row>
    <row r="4" spans="1:20">
      <c r="A4" s="225"/>
      <c r="B4" s="236"/>
      <c r="D4" s="232" t="s">
        <v>3</v>
      </c>
      <c r="E4" s="233"/>
      <c r="F4" s="237">
        <f>'Cover Sheet'!F4</f>
        <v>16</v>
      </c>
      <c r="G4" s="233"/>
      <c r="H4" s="233"/>
      <c r="I4" s="233"/>
      <c r="J4" s="233"/>
      <c r="K4" s="233"/>
      <c r="L4" s="238"/>
      <c r="M4" s="238"/>
      <c r="N4" s="238"/>
      <c r="O4" s="233"/>
      <c r="P4" s="233"/>
      <c r="Q4" s="239"/>
      <c r="R4" s="94"/>
      <c r="S4" s="38"/>
    </row>
    <row r="5" spans="1:20" ht="18">
      <c r="A5" s="225"/>
      <c r="B5" s="240" t="s">
        <v>139</v>
      </c>
      <c r="D5" s="232" t="s">
        <v>1</v>
      </c>
      <c r="E5" s="233"/>
      <c r="F5" s="130">
        <f>'Cover Sheet'!F5</f>
        <v>45915</v>
      </c>
      <c r="G5" s="233"/>
      <c r="H5" s="233"/>
      <c r="I5" s="233"/>
      <c r="J5" s="233"/>
      <c r="K5" s="233"/>
      <c r="L5" s="238"/>
      <c r="M5" s="238"/>
      <c r="N5" s="238"/>
      <c r="O5" s="233"/>
      <c r="P5" s="233"/>
      <c r="Q5" s="239"/>
      <c r="R5" s="94"/>
      <c r="S5" s="38"/>
    </row>
    <row r="6" spans="1:20" ht="15" customHeight="1">
      <c r="A6" s="225"/>
      <c r="B6" s="241"/>
      <c r="C6" s="236"/>
      <c r="D6" s="232" t="s">
        <v>51</v>
      </c>
      <c r="E6" s="243" t="s">
        <v>34</v>
      </c>
      <c r="F6" s="234">
        <f>'Cover Sheet'!F6</f>
        <v>45883</v>
      </c>
      <c r="G6" s="243" t="str">
        <f>'Cover Sheet'!G6</f>
        <v>to</v>
      </c>
      <c r="H6" s="234">
        <f>'Cover Sheet'!H6</f>
        <v>45915</v>
      </c>
      <c r="I6" s="243" t="str">
        <f>'Cover Sheet'!I6</f>
        <v>=</v>
      </c>
      <c r="J6" s="606" t="str">
        <f>'Cover Sheet'!J6</f>
        <v>32 days</v>
      </c>
      <c r="K6" s="243"/>
      <c r="L6" s="234"/>
      <c r="M6" s="234"/>
      <c r="N6" s="234"/>
      <c r="O6" s="243"/>
      <c r="P6" s="243"/>
      <c r="Q6" s="332"/>
      <c r="R6" s="299"/>
      <c r="S6" s="22"/>
      <c r="T6" s="300"/>
    </row>
    <row r="7" spans="1:20">
      <c r="A7" s="225"/>
      <c r="D7" s="607" t="s">
        <v>111</v>
      </c>
      <c r="E7" s="608" t="s">
        <v>34</v>
      </c>
      <c r="F7" s="247" t="str">
        <f>'Cover Sheet'!F7</f>
        <v>01.08.2025</v>
      </c>
      <c r="G7" s="608" t="str">
        <f>'Cover Sheet'!G7</f>
        <v>to</v>
      </c>
      <c r="H7" s="247">
        <f>'Cover Sheet'!H7</f>
        <v>45900</v>
      </c>
      <c r="I7" s="608"/>
      <c r="J7" s="608"/>
      <c r="K7" s="608"/>
      <c r="L7" s="247"/>
      <c r="M7" s="247"/>
      <c r="N7" s="247"/>
      <c r="O7" s="248"/>
      <c r="P7" s="248"/>
      <c r="Q7" s="249"/>
      <c r="R7" s="94"/>
      <c r="S7" s="38"/>
    </row>
    <row r="8" spans="1:20" ht="13">
      <c r="A8" s="225"/>
      <c r="D8" s="231"/>
      <c r="E8" s="5"/>
      <c r="F8" s="231"/>
      <c r="L8" s="250"/>
      <c r="M8" s="250"/>
      <c r="N8" s="250"/>
      <c r="R8" s="94"/>
    </row>
    <row r="9" spans="1:20" ht="13">
      <c r="A9" s="225"/>
      <c r="B9" s="609"/>
      <c r="D9" s="231"/>
      <c r="E9" s="5"/>
      <c r="F9" s="231"/>
      <c r="L9" s="250"/>
      <c r="M9" s="250"/>
      <c r="N9" s="250"/>
      <c r="R9" s="94"/>
    </row>
    <row r="10" spans="1:20">
      <c r="A10" s="225"/>
      <c r="L10" s="109"/>
      <c r="M10" s="109"/>
      <c r="N10" s="109"/>
      <c r="R10" s="94"/>
    </row>
    <row r="11" spans="1:20" ht="18" customHeight="1">
      <c r="A11" s="225"/>
      <c r="R11" s="94"/>
    </row>
    <row r="12" spans="1:20">
      <c r="A12" s="225"/>
      <c r="R12" s="94"/>
    </row>
    <row r="13" spans="1:20" ht="18">
      <c r="A13" s="225"/>
      <c r="B13" s="226" t="s">
        <v>25</v>
      </c>
      <c r="C13" s="610" t="s">
        <v>7</v>
      </c>
      <c r="D13" s="610" t="s">
        <v>5</v>
      </c>
      <c r="E13" s="610"/>
      <c r="F13" s="610" t="s">
        <v>6</v>
      </c>
      <c r="G13" s="610"/>
      <c r="H13" s="610" t="s">
        <v>181</v>
      </c>
      <c r="I13" s="610"/>
      <c r="J13" s="610" t="s">
        <v>182</v>
      </c>
      <c r="K13" s="610"/>
      <c r="L13" s="610" t="s">
        <v>183</v>
      </c>
      <c r="M13" s="610"/>
      <c r="N13" s="610" t="s">
        <v>226</v>
      </c>
      <c r="O13" s="610"/>
      <c r="P13" s="610"/>
      <c r="Q13" s="610"/>
      <c r="R13" s="94"/>
      <c r="S13" s="611"/>
    </row>
    <row r="14" spans="1:20" ht="12.75" customHeight="1">
      <c r="A14" s="225"/>
      <c r="B14" s="612" t="s">
        <v>16</v>
      </c>
      <c r="C14" s="613"/>
      <c r="D14" s="613"/>
      <c r="E14" s="613"/>
      <c r="F14" s="613"/>
      <c r="G14" s="613"/>
      <c r="H14" s="613"/>
      <c r="I14" s="613"/>
      <c r="J14" s="613"/>
      <c r="K14" s="613"/>
      <c r="L14" s="613"/>
      <c r="M14" s="613"/>
      <c r="N14" s="613"/>
      <c r="O14" s="613"/>
      <c r="P14" s="613"/>
      <c r="Q14" s="614"/>
      <c r="R14" s="94"/>
      <c r="S14" s="611"/>
    </row>
    <row r="15" spans="1:20" ht="14.25" customHeight="1">
      <c r="A15" s="225"/>
      <c r="B15" s="225" t="s">
        <v>17</v>
      </c>
      <c r="C15" s="615"/>
      <c r="D15" s="108" t="s">
        <v>759</v>
      </c>
      <c r="E15" s="5"/>
      <c r="F15" s="81" t="s">
        <v>760</v>
      </c>
      <c r="G15" s="108"/>
      <c r="H15" s="81" t="s">
        <v>761</v>
      </c>
      <c r="I15" s="108"/>
      <c r="J15" s="81" t="s">
        <v>762</v>
      </c>
      <c r="K15" s="108"/>
      <c r="L15" s="81" t="s">
        <v>763</v>
      </c>
      <c r="M15" s="616"/>
      <c r="N15" s="81" t="s">
        <v>764</v>
      </c>
      <c r="O15" s="108"/>
      <c r="P15" s="615"/>
      <c r="Q15" s="617"/>
      <c r="R15" s="94"/>
      <c r="S15" s="611"/>
    </row>
    <row r="16" spans="1:20" ht="14.25" customHeight="1">
      <c r="A16" s="225"/>
      <c r="B16" s="225" t="s">
        <v>57</v>
      </c>
      <c r="C16" s="615"/>
      <c r="D16" s="108" t="s">
        <v>55</v>
      </c>
      <c r="E16" s="108"/>
      <c r="F16" s="108" t="s">
        <v>55</v>
      </c>
      <c r="G16" s="618"/>
      <c r="H16" s="108" t="s">
        <v>55</v>
      </c>
      <c r="I16" s="618"/>
      <c r="J16" s="108" t="s">
        <v>55</v>
      </c>
      <c r="K16" s="618"/>
      <c r="L16" s="108" t="s">
        <v>55</v>
      </c>
      <c r="M16" s="108"/>
      <c r="N16" s="108" t="s">
        <v>55</v>
      </c>
      <c r="O16" s="618"/>
      <c r="P16" s="615"/>
      <c r="Q16" s="617"/>
      <c r="R16" s="94"/>
      <c r="S16" s="611"/>
    </row>
    <row r="17" spans="1:20" ht="13">
      <c r="A17" s="225"/>
      <c r="B17" s="225" t="s">
        <v>18</v>
      </c>
      <c r="C17" s="109" t="s">
        <v>8</v>
      </c>
      <c r="D17" s="619">
        <v>0.83099999999999996</v>
      </c>
      <c r="E17" s="619"/>
      <c r="F17" s="619">
        <v>5.6000000000000001E-2</v>
      </c>
      <c r="G17" s="619"/>
      <c r="H17" s="619">
        <v>5.1999999999999998E-2</v>
      </c>
      <c r="I17" s="619"/>
      <c r="J17" s="619">
        <v>2.3E-2</v>
      </c>
      <c r="K17" s="619"/>
      <c r="L17" s="619">
        <v>2.5999999999999999E-2</v>
      </c>
      <c r="M17" s="619"/>
      <c r="N17" s="619">
        <v>1.2E-2</v>
      </c>
      <c r="O17" s="619"/>
      <c r="P17" s="620"/>
      <c r="Q17" s="621"/>
      <c r="R17" s="94"/>
      <c r="S17" s="622"/>
    </row>
    <row r="18" spans="1:20" ht="13">
      <c r="A18" s="225"/>
      <c r="B18" s="225" t="s">
        <v>140</v>
      </c>
      <c r="C18" s="109"/>
      <c r="D18" s="616">
        <v>50419</v>
      </c>
      <c r="E18" s="5"/>
      <c r="F18" s="616">
        <v>50419</v>
      </c>
      <c r="G18" s="108"/>
      <c r="H18" s="616">
        <v>50419</v>
      </c>
      <c r="I18" s="108"/>
      <c r="J18" s="616">
        <v>50419</v>
      </c>
      <c r="K18" s="108"/>
      <c r="L18" s="616">
        <v>50419</v>
      </c>
      <c r="M18" s="616"/>
      <c r="N18" s="616">
        <v>50419</v>
      </c>
      <c r="O18" s="108"/>
      <c r="P18" s="620"/>
      <c r="Q18" s="621"/>
      <c r="R18" s="94"/>
      <c r="S18" s="622"/>
    </row>
    <row r="19" spans="1:20" ht="13">
      <c r="A19" s="225"/>
      <c r="B19" s="225" t="s">
        <v>169</v>
      </c>
      <c r="C19" s="109"/>
      <c r="D19" s="616">
        <v>47921</v>
      </c>
      <c r="E19" s="5"/>
      <c r="F19" s="616">
        <v>47921</v>
      </c>
      <c r="G19" s="108"/>
      <c r="H19" s="616">
        <v>47921</v>
      </c>
      <c r="I19" s="108"/>
      <c r="J19" s="616">
        <v>47921</v>
      </c>
      <c r="K19" s="108"/>
      <c r="L19" s="616">
        <v>47921</v>
      </c>
      <c r="M19" s="616"/>
      <c r="N19" s="616">
        <v>46156</v>
      </c>
      <c r="O19" s="108"/>
      <c r="P19" s="620"/>
      <c r="Q19" s="621"/>
      <c r="R19" s="94"/>
      <c r="S19" s="622"/>
    </row>
    <row r="20" spans="1:20" ht="13">
      <c r="A20" s="225"/>
      <c r="B20" s="225" t="s">
        <v>745</v>
      </c>
      <c r="C20" s="109"/>
      <c r="D20" s="108" t="s">
        <v>795</v>
      </c>
      <c r="E20" s="108"/>
      <c r="F20" s="108" t="s">
        <v>796</v>
      </c>
      <c r="G20" s="108"/>
      <c r="H20" s="108" t="s">
        <v>797</v>
      </c>
      <c r="I20" s="108"/>
      <c r="J20" s="108" t="s">
        <v>798</v>
      </c>
      <c r="K20" s="108"/>
      <c r="L20" s="108" t="s">
        <v>799</v>
      </c>
      <c r="M20" s="108"/>
      <c r="N20" s="108" t="s">
        <v>800</v>
      </c>
      <c r="O20" s="108"/>
      <c r="P20" s="620"/>
      <c r="Q20" s="621"/>
      <c r="R20" s="94"/>
      <c r="S20" s="622"/>
    </row>
    <row r="21" spans="1:20" ht="13">
      <c r="A21" s="225"/>
      <c r="B21" s="225" t="s">
        <v>746</v>
      </c>
      <c r="C21" s="623" t="s">
        <v>713</v>
      </c>
      <c r="D21" s="108" t="str">
        <f>VLOOKUP(D15,ratings,18,0)</f>
        <v>AAA (sf) / Aaa (sf)</v>
      </c>
      <c r="E21" s="108"/>
      <c r="F21" s="108" t="str">
        <f>VLOOKUP(F15,ratings,18,0)</f>
        <v>AA (sf) / Aa1 (sf)</v>
      </c>
      <c r="G21" s="108"/>
      <c r="H21" s="108" t="str">
        <f>VLOOKUP(H15,ratings,18,0)</f>
        <v>A (sf) / A1 (sf)</v>
      </c>
      <c r="I21" s="108"/>
      <c r="J21" s="108" t="str">
        <f>VLOOKUP(J15,ratings,18,0)</f>
        <v>BBB (high) (sf) / Baa2 (sf)</v>
      </c>
      <c r="K21" s="108"/>
      <c r="L21" s="108" t="str">
        <f>VLOOKUP(L15,ratings,18,0)</f>
        <v>BB (high) (sf) / Ba1 (sf)</v>
      </c>
      <c r="M21" s="108"/>
      <c r="N21" s="108" t="str">
        <f>VLOOKUP(N15,ratings,18,0)</f>
        <v>BB (high) (sf) / Ba2 (sf)</v>
      </c>
      <c r="O21" s="108"/>
      <c r="P21" s="620"/>
      <c r="Q21" s="621"/>
      <c r="R21" s="94"/>
      <c r="S21" s="622"/>
    </row>
    <row r="22" spans="1:20">
      <c r="A22" s="225"/>
      <c r="B22" s="225" t="s">
        <v>45</v>
      </c>
      <c r="C22" s="842">
        <f>SUM(D22:O22)</f>
        <v>1500000000</v>
      </c>
      <c r="D22" s="843">
        <v>1246500000</v>
      </c>
      <c r="E22" s="108"/>
      <c r="F22" s="843">
        <v>84000000</v>
      </c>
      <c r="G22" s="108"/>
      <c r="H22" s="843">
        <v>78000000</v>
      </c>
      <c r="I22" s="108"/>
      <c r="J22" s="843">
        <v>34500000</v>
      </c>
      <c r="K22" s="108"/>
      <c r="L22" s="843">
        <v>39000000</v>
      </c>
      <c r="M22" s="108"/>
      <c r="N22" s="843">
        <v>18000000</v>
      </c>
      <c r="O22" s="108"/>
      <c r="P22" s="625"/>
      <c r="Q22" s="626"/>
      <c r="R22" s="94"/>
    </row>
    <row r="23" spans="1:20">
      <c r="A23" s="225"/>
      <c r="B23" s="225" t="s">
        <v>19</v>
      </c>
      <c r="C23" s="609"/>
      <c r="D23" s="624">
        <v>100000</v>
      </c>
      <c r="E23" s="5"/>
      <c r="F23" s="624">
        <f>D23</f>
        <v>100000</v>
      </c>
      <c r="G23" s="5"/>
      <c r="H23" s="624">
        <f>D23</f>
        <v>100000</v>
      </c>
      <c r="I23" s="5"/>
      <c r="J23" s="624">
        <f>D23</f>
        <v>100000</v>
      </c>
      <c r="K23" s="5"/>
      <c r="L23" s="624">
        <f>D23</f>
        <v>100000</v>
      </c>
      <c r="M23" s="624"/>
      <c r="N23" s="624">
        <f>D23</f>
        <v>100000</v>
      </c>
      <c r="O23" s="5"/>
      <c r="Q23" s="627"/>
      <c r="R23" s="94"/>
      <c r="T23" s="624"/>
    </row>
    <row r="24" spans="1:20">
      <c r="A24" s="225"/>
      <c r="B24" s="289" t="s">
        <v>20</v>
      </c>
      <c r="C24" s="628"/>
      <c r="D24" s="629">
        <f>D22/D23</f>
        <v>12465</v>
      </c>
      <c r="E24" s="844"/>
      <c r="F24" s="629">
        <f>F22/F23</f>
        <v>840</v>
      </c>
      <c r="G24" s="629"/>
      <c r="H24" s="629">
        <f>H22/H23</f>
        <v>780</v>
      </c>
      <c r="I24" s="629"/>
      <c r="J24" s="629">
        <f>J22/J23</f>
        <v>345</v>
      </c>
      <c r="K24" s="629"/>
      <c r="L24" s="629">
        <f>L22/L23</f>
        <v>390</v>
      </c>
      <c r="M24" s="629"/>
      <c r="N24" s="629">
        <f>N22/N23</f>
        <v>180</v>
      </c>
      <c r="O24" s="629"/>
      <c r="P24" s="35"/>
      <c r="Q24" s="630"/>
      <c r="R24" s="94"/>
    </row>
    <row r="25" spans="1:20" ht="12.75" customHeight="1">
      <c r="A25" s="225"/>
      <c r="B25" s="222"/>
      <c r="C25" s="223"/>
      <c r="D25" s="841"/>
      <c r="E25" s="223"/>
      <c r="F25" s="631"/>
      <c r="G25" s="223"/>
      <c r="H25" s="223"/>
      <c r="I25" s="223"/>
      <c r="J25" s="223"/>
      <c r="K25" s="223"/>
      <c r="L25" s="631"/>
      <c r="M25" s="631"/>
      <c r="N25" s="631"/>
      <c r="O25" s="223"/>
      <c r="P25" s="223"/>
      <c r="Q25" s="632"/>
      <c r="R25" s="94"/>
    </row>
    <row r="26" spans="1:20" ht="13">
      <c r="A26" s="225"/>
      <c r="B26" s="633" t="s">
        <v>21</v>
      </c>
      <c r="Q26" s="94"/>
      <c r="R26" s="94"/>
    </row>
    <row r="27" spans="1:20">
      <c r="A27" s="225"/>
      <c r="B27" s="225" t="s">
        <v>46</v>
      </c>
      <c r="C27" s="634">
        <f>SUM(D27,F27,H27,J27,L27,N27)</f>
        <v>1157272243.8</v>
      </c>
      <c r="D27" s="783">
        <f>VLOOKUP("A_Notes_bop",calcdata,2,0)</f>
        <v>915022243.79999995</v>
      </c>
      <c r="E27" s="784"/>
      <c r="F27" s="783">
        <f>VLOOKUP("B_Notes_bop",calcdata,2,0)</f>
        <v>84000000</v>
      </c>
      <c r="G27" s="784"/>
      <c r="H27" s="783">
        <f>VLOOKUP("C_Notes_bop",calcdata,2,0)</f>
        <v>78000000</v>
      </c>
      <c r="I27" s="784"/>
      <c r="J27" s="783">
        <f>VLOOKUP("D_Notes_bop",calcdata,2,0)</f>
        <v>34500000</v>
      </c>
      <c r="K27" s="784"/>
      <c r="L27" s="783">
        <f>VLOOKUP("E_Notes_bop",calcdata,2,0)</f>
        <v>39000000</v>
      </c>
      <c r="M27" s="784"/>
      <c r="N27" s="783">
        <f>VLOOKUP("F_Notes_bop",calcdata,2,0)</f>
        <v>6750000</v>
      </c>
      <c r="O27" s="108"/>
      <c r="P27" s="609"/>
      <c r="Q27" s="627"/>
      <c r="R27" s="94"/>
    </row>
    <row r="28" spans="1:20">
      <c r="A28" s="225"/>
      <c r="B28" s="225"/>
      <c r="C28" s="634"/>
      <c r="D28" s="634"/>
      <c r="E28" s="634"/>
      <c r="F28" s="634"/>
      <c r="G28" s="634"/>
      <c r="H28" s="634"/>
      <c r="I28" s="634"/>
      <c r="J28" s="634"/>
      <c r="K28" s="634"/>
      <c r="L28" s="634"/>
      <c r="M28" s="634"/>
      <c r="N28" s="634"/>
      <c r="O28" s="609"/>
      <c r="P28" s="609"/>
      <c r="Q28" s="627"/>
      <c r="R28" s="94"/>
    </row>
    <row r="29" spans="1:20">
      <c r="A29" s="225"/>
      <c r="B29" s="225" t="s">
        <v>141</v>
      </c>
      <c r="C29" s="634">
        <f>VLOOKUP("Replenishment",calcdata,2,0)</f>
        <v>0</v>
      </c>
      <c r="D29" s="634"/>
      <c r="E29" s="634"/>
      <c r="F29" s="634"/>
      <c r="G29" s="634"/>
      <c r="H29" s="634"/>
      <c r="I29" s="634"/>
      <c r="J29" s="634"/>
      <c r="K29" s="634"/>
      <c r="L29" s="634"/>
      <c r="M29" s="634"/>
      <c r="N29" s="634"/>
      <c r="Q29" s="94"/>
      <c r="R29" s="94"/>
    </row>
    <row r="30" spans="1:20">
      <c r="A30" s="225"/>
      <c r="B30" s="225" t="s">
        <v>96</v>
      </c>
      <c r="C30" s="634">
        <f>VLOOKUP("Amortisation",calcdata,2,0)</f>
        <v>37528481.100000001</v>
      </c>
      <c r="D30" s="634"/>
      <c r="E30" s="634"/>
      <c r="F30" s="634"/>
      <c r="G30" s="634"/>
      <c r="H30" s="634"/>
      <c r="I30" s="634"/>
      <c r="J30" s="634"/>
      <c r="K30" s="634"/>
      <c r="L30" s="634"/>
      <c r="M30" s="634"/>
      <c r="N30" s="634"/>
      <c r="Q30" s="94"/>
      <c r="R30" s="94"/>
    </row>
    <row r="31" spans="1:20">
      <c r="A31" s="225"/>
      <c r="B31" s="225" t="s">
        <v>23</v>
      </c>
      <c r="C31" s="634"/>
      <c r="D31" s="718">
        <f>VLOOKUP("A_Redemption",calcdata,2,0)</f>
        <v>36778481.100000001</v>
      </c>
      <c r="E31" s="718"/>
      <c r="F31" s="718">
        <f>VLOOKUP("B_Redemption",calcdata,2,0)</f>
        <v>0</v>
      </c>
      <c r="G31" s="718"/>
      <c r="H31" s="718">
        <f>VLOOKUP("C_Redemption",calcdata,2,0)</f>
        <v>0</v>
      </c>
      <c r="I31" s="718"/>
      <c r="J31" s="718">
        <f>VLOOKUP("D_Redemption",calcdata,2,0)</f>
        <v>0</v>
      </c>
      <c r="K31" s="718"/>
      <c r="L31" s="718">
        <f>VLOOKUP("E_Redemption",calcdata,2,0)</f>
        <v>0</v>
      </c>
      <c r="M31" s="718"/>
      <c r="N31" s="718">
        <f>VLOOKUP("F_Redemption",calcdata,2,0)</f>
        <v>750000</v>
      </c>
      <c r="O31" s="609"/>
      <c r="P31" s="609"/>
      <c r="Q31" s="627"/>
      <c r="R31" s="94"/>
    </row>
    <row r="32" spans="1:20">
      <c r="A32" s="225"/>
      <c r="B32" s="225" t="s">
        <v>22</v>
      </c>
      <c r="C32" s="634"/>
      <c r="D32" s="634">
        <f>IF(ISNUMBER(D31),D31/D24,"")</f>
        <v>2950.54</v>
      </c>
      <c r="E32" s="634"/>
      <c r="F32" s="634">
        <f>IF(ISNUMBER(F31),F31/F24,"")</f>
        <v>0</v>
      </c>
      <c r="G32" s="634"/>
      <c r="H32" s="634">
        <f>IF(ISNUMBER(H31),H31/H24,"")</f>
        <v>0</v>
      </c>
      <c r="I32" s="634"/>
      <c r="J32" s="634">
        <f>IF(ISNUMBER(J31),J31/J24,"")</f>
        <v>0</v>
      </c>
      <c r="K32" s="634"/>
      <c r="L32" s="634">
        <f>IF(ISNUMBER(L31),L31/L24,"")</f>
        <v>0</v>
      </c>
      <c r="M32" s="634"/>
      <c r="N32" s="634">
        <f>IF(ISNUMBER(N31),N31/N24,"")</f>
        <v>4166.666666666667</v>
      </c>
      <c r="O32" s="609"/>
      <c r="P32" s="609"/>
      <c r="Q32" s="627"/>
      <c r="R32" s="94"/>
    </row>
    <row r="33" spans="1:18">
      <c r="A33" s="225"/>
      <c r="B33" s="225" t="s">
        <v>47</v>
      </c>
      <c r="C33" s="634">
        <f>SUM(D33,F33,H33,J33,L33,N33)</f>
        <v>1119743762.6999998</v>
      </c>
      <c r="D33" s="634">
        <f>D27-D31</f>
        <v>878243762.69999993</v>
      </c>
      <c r="E33" s="634"/>
      <c r="F33" s="634">
        <f>F27-F31</f>
        <v>84000000</v>
      </c>
      <c r="G33" s="634"/>
      <c r="H33" s="634">
        <f>H27-H31</f>
        <v>78000000</v>
      </c>
      <c r="I33" s="634"/>
      <c r="J33" s="634">
        <f>J27-J31</f>
        <v>34500000</v>
      </c>
      <c r="K33" s="634"/>
      <c r="L33" s="634">
        <f>L27-L31</f>
        <v>39000000</v>
      </c>
      <c r="M33" s="634"/>
      <c r="N33" s="634">
        <f>N27-N31</f>
        <v>6000000</v>
      </c>
      <c r="Q33" s="627"/>
      <c r="R33" s="94"/>
    </row>
    <row r="34" spans="1:18">
      <c r="A34" s="225"/>
      <c r="B34" s="225" t="s">
        <v>24</v>
      </c>
      <c r="D34" s="635">
        <f>+D33/$C$33</f>
        <v>0.78432565731138415</v>
      </c>
      <c r="F34" s="635">
        <f>+F33/$C$33</f>
        <v>7.5017162674301197E-2</v>
      </c>
      <c r="H34" s="635">
        <f>+H33/$C$33</f>
        <v>6.9658793911851105E-2</v>
      </c>
      <c r="J34" s="635">
        <f>+J33/$C$33</f>
        <v>3.0810620384087991E-2</v>
      </c>
      <c r="L34" s="635">
        <f>+L33/$C$33</f>
        <v>3.4829396955925553E-2</v>
      </c>
      <c r="M34" s="635"/>
      <c r="N34" s="635">
        <f>+N33/$C$33</f>
        <v>5.3583687624500853E-3</v>
      </c>
      <c r="Q34" s="636"/>
      <c r="R34" s="94"/>
    </row>
    <row r="35" spans="1:18">
      <c r="A35" s="225"/>
      <c r="B35" s="289" t="s">
        <v>27</v>
      </c>
      <c r="C35" s="637">
        <f>C33/C22</f>
        <v>0.74649584179999984</v>
      </c>
      <c r="D35" s="637">
        <f>D33/D22</f>
        <v>0.70456779999999997</v>
      </c>
      <c r="E35" s="35"/>
      <c r="F35" s="637">
        <f>F33/F22</f>
        <v>1</v>
      </c>
      <c r="G35" s="35"/>
      <c r="H35" s="637">
        <f>H33/H22</f>
        <v>1</v>
      </c>
      <c r="I35" s="35"/>
      <c r="J35" s="637">
        <f>J33/J22</f>
        <v>1</v>
      </c>
      <c r="K35" s="35"/>
      <c r="L35" s="637">
        <f>L33/L22</f>
        <v>1</v>
      </c>
      <c r="M35" s="637"/>
      <c r="N35" s="637">
        <f>N33/N22</f>
        <v>0.33333333333333331</v>
      </c>
      <c r="O35" s="35"/>
      <c r="P35" s="35"/>
      <c r="Q35" s="638"/>
      <c r="R35" s="94"/>
    </row>
    <row r="36" spans="1:18">
      <c r="A36" s="225"/>
      <c r="R36" s="94"/>
    </row>
    <row r="37" spans="1:18" ht="18">
      <c r="A37" s="225"/>
      <c r="B37" s="226" t="s">
        <v>26</v>
      </c>
      <c r="C37" s="610" t="s">
        <v>7</v>
      </c>
      <c r="D37" s="610" t="s">
        <v>5</v>
      </c>
      <c r="E37" s="610"/>
      <c r="F37" s="610" t="s">
        <v>6</v>
      </c>
      <c r="G37" s="610"/>
      <c r="H37" s="610" t="s">
        <v>181</v>
      </c>
      <c r="I37" s="610"/>
      <c r="J37" s="610" t="s">
        <v>182</v>
      </c>
      <c r="K37" s="610"/>
      <c r="L37" s="610" t="s">
        <v>183</v>
      </c>
      <c r="M37" s="610"/>
      <c r="N37" s="610" t="s">
        <v>226</v>
      </c>
      <c r="O37" s="610"/>
      <c r="P37" s="610"/>
      <c r="Q37" s="610"/>
      <c r="R37" s="94"/>
    </row>
    <row r="38" spans="1:18">
      <c r="A38" s="225"/>
      <c r="B38" s="222" t="s">
        <v>184</v>
      </c>
      <c r="C38" s="886">
        <f>VLOOKUP("1M_euribor",calcdata,2,0)</f>
        <v>1.866E-2</v>
      </c>
      <c r="D38" s="845" t="s">
        <v>788</v>
      </c>
      <c r="E38" s="846"/>
      <c r="F38" s="847" t="s">
        <v>789</v>
      </c>
      <c r="G38" s="847"/>
      <c r="H38" s="847" t="s">
        <v>790</v>
      </c>
      <c r="I38" s="847"/>
      <c r="J38" s="847" t="s">
        <v>791</v>
      </c>
      <c r="K38" s="847"/>
      <c r="L38" s="847" t="s">
        <v>792</v>
      </c>
      <c r="M38" s="847"/>
      <c r="N38" s="847" t="s">
        <v>793</v>
      </c>
      <c r="O38" s="639"/>
      <c r="P38" s="223"/>
      <c r="Q38" s="640"/>
      <c r="R38" s="94"/>
    </row>
    <row r="39" spans="1:18">
      <c r="A39" s="225"/>
      <c r="B39" s="225" t="s">
        <v>58</v>
      </c>
      <c r="C39" s="641"/>
      <c r="D39" s="643" t="s">
        <v>56</v>
      </c>
      <c r="E39" s="109"/>
      <c r="F39" s="643" t="s">
        <v>56</v>
      </c>
      <c r="G39" s="109"/>
      <c r="H39" s="643" t="s">
        <v>56</v>
      </c>
      <c r="I39" s="109"/>
      <c r="J39" s="643" t="s">
        <v>56</v>
      </c>
      <c r="K39" s="109"/>
      <c r="L39" s="643" t="s">
        <v>56</v>
      </c>
      <c r="M39" s="643"/>
      <c r="N39" s="643" t="s">
        <v>56</v>
      </c>
      <c r="O39" s="5"/>
      <c r="Q39" s="642"/>
      <c r="R39" s="94"/>
    </row>
    <row r="40" spans="1:18">
      <c r="A40" s="225"/>
      <c r="B40" s="225" t="s">
        <v>94</v>
      </c>
      <c r="C40" s="641">
        <f>VLOOKUP("Interest_days",calcdata,2,0)</f>
        <v>31</v>
      </c>
      <c r="D40" s="643"/>
      <c r="F40" s="643"/>
      <c r="L40" s="644"/>
      <c r="M40" s="644"/>
      <c r="N40" s="644"/>
      <c r="Q40" s="642"/>
      <c r="R40" s="94"/>
    </row>
    <row r="41" spans="1:18">
      <c r="A41" s="225"/>
      <c r="B41" s="225" t="s">
        <v>28</v>
      </c>
      <c r="C41" s="609"/>
      <c r="D41" s="634">
        <f>D27/D24</f>
        <v>73407.319999999992</v>
      </c>
      <c r="E41" s="634"/>
      <c r="F41" s="634">
        <f>F27/F24</f>
        <v>100000</v>
      </c>
      <c r="G41" s="634"/>
      <c r="H41" s="634">
        <f>H27/H24</f>
        <v>100000</v>
      </c>
      <c r="I41" s="634"/>
      <c r="J41" s="634">
        <f>J27/J24</f>
        <v>100000</v>
      </c>
      <c r="K41" s="634"/>
      <c r="L41" s="634">
        <f>L27/L24</f>
        <v>100000</v>
      </c>
      <c r="M41" s="634"/>
      <c r="N41" s="634">
        <f>N27/N24</f>
        <v>37500</v>
      </c>
      <c r="Q41" s="627"/>
      <c r="R41" s="94"/>
    </row>
    <row r="42" spans="1:18">
      <c r="A42" s="225"/>
      <c r="B42" s="225" t="s">
        <v>700</v>
      </c>
      <c r="C42" s="609"/>
      <c r="D42" s="634"/>
      <c r="E42" s="634"/>
      <c r="F42" s="634"/>
      <c r="G42" s="634"/>
      <c r="H42" s="634"/>
      <c r="I42" s="634"/>
      <c r="J42" s="634"/>
      <c r="K42" s="634"/>
      <c r="L42" s="634"/>
      <c r="M42" s="634"/>
      <c r="N42" s="634">
        <f>VLOOKUP("F_accrued_Target_Amortisation",calcdata,2,0)/N24</f>
        <v>4166.666666666667</v>
      </c>
      <c r="Q42" s="627"/>
      <c r="R42" s="94"/>
    </row>
    <row r="43" spans="1:18" ht="13">
      <c r="A43" s="225"/>
      <c r="B43" s="225" t="s">
        <v>30</v>
      </c>
      <c r="C43" s="645"/>
      <c r="D43" s="646">
        <f>+D32</f>
        <v>2950.54</v>
      </c>
      <c r="E43" s="646"/>
      <c r="F43" s="646">
        <f>+F32</f>
        <v>0</v>
      </c>
      <c r="G43" s="646"/>
      <c r="H43" s="646">
        <f>+H32</f>
        <v>0</v>
      </c>
      <c r="I43" s="646"/>
      <c r="J43" s="646">
        <f>+J32</f>
        <v>0</v>
      </c>
      <c r="K43" s="646"/>
      <c r="L43" s="646">
        <f>+L32</f>
        <v>0</v>
      </c>
      <c r="M43" s="646"/>
      <c r="N43" s="646">
        <f>+N32</f>
        <v>4166.666666666667</v>
      </c>
      <c r="O43" s="21"/>
      <c r="P43" s="21"/>
      <c r="Q43" s="647"/>
      <c r="R43" s="94"/>
    </row>
    <row r="44" spans="1:18">
      <c r="A44" s="225"/>
      <c r="B44" s="225" t="s">
        <v>29</v>
      </c>
      <c r="C44" s="645"/>
      <c r="D44" s="634">
        <f>D41-D43</f>
        <v>70456.78</v>
      </c>
      <c r="E44" s="634"/>
      <c r="F44" s="634">
        <f>F41-F43</f>
        <v>100000</v>
      </c>
      <c r="G44" s="634"/>
      <c r="H44" s="634">
        <f>H41-H43</f>
        <v>100000</v>
      </c>
      <c r="I44" s="634"/>
      <c r="J44" s="634">
        <f>J41-J43</f>
        <v>100000</v>
      </c>
      <c r="K44" s="634"/>
      <c r="L44" s="634">
        <f>L41-L43</f>
        <v>100000</v>
      </c>
      <c r="M44" s="634"/>
      <c r="N44" s="634">
        <f>N41-N43</f>
        <v>33333.333333333336</v>
      </c>
      <c r="Q44" s="627"/>
      <c r="R44" s="94"/>
    </row>
    <row r="45" spans="1:18" ht="13">
      <c r="A45" s="225"/>
      <c r="B45" s="225" t="s">
        <v>84</v>
      </c>
      <c r="C45" s="648"/>
      <c r="D45" s="646">
        <f>-'19. PoP + Transaction Costs'!E64</f>
        <v>-2046379.05</v>
      </c>
      <c r="E45" s="646"/>
      <c r="F45" s="646">
        <f>-'19. PoP + Transaction Costs'!G64</f>
        <v>-213998.4</v>
      </c>
      <c r="G45" s="634"/>
      <c r="H45" s="646">
        <f>-'19. PoP + Transaction Costs'!I64</f>
        <v>-219507.6</v>
      </c>
      <c r="I45" s="634"/>
      <c r="J45" s="646">
        <f>-'19. PoP + Transaction Costs'!K64</f>
        <v>-110889.9</v>
      </c>
      <c r="K45" s="634"/>
      <c r="L45" s="646">
        <f>-'19. PoP + Transaction Costs'!M64</f>
        <v>-189489.3</v>
      </c>
      <c r="M45" s="646"/>
      <c r="N45" s="646">
        <f>-'19. PoP + Transaction Costs'!O64</f>
        <v>-39996</v>
      </c>
      <c r="Q45" s="627"/>
      <c r="R45" s="94"/>
    </row>
    <row r="46" spans="1:18" ht="13">
      <c r="A46" s="225"/>
      <c r="B46" s="225" t="s">
        <v>93</v>
      </c>
      <c r="C46" s="648"/>
      <c r="D46" s="718">
        <f>VLOOKUP("A_Interests",calcdata,2,0)</f>
        <v>2046379.05</v>
      </c>
      <c r="E46" s="646"/>
      <c r="F46" s="718">
        <f>VLOOKUP("B_Interests",calcdata,2,0)</f>
        <v>213998.4</v>
      </c>
      <c r="G46" s="634"/>
      <c r="H46" s="718">
        <f>VLOOKUP("C_Interests",calcdata,2,0)</f>
        <v>219507.6</v>
      </c>
      <c r="I46" s="718"/>
      <c r="J46" s="718">
        <f>VLOOKUP("D_Interests",calcdata,2,0)</f>
        <v>110889.9</v>
      </c>
      <c r="K46" s="634"/>
      <c r="L46" s="718">
        <f>VLOOKUP("E_Interests",calcdata,2,0)</f>
        <v>189489.3</v>
      </c>
      <c r="M46" s="718"/>
      <c r="N46" s="718">
        <f>VLOOKUP("F_Interests",calcdata,2,0)</f>
        <v>39996</v>
      </c>
      <c r="Q46" s="627"/>
      <c r="R46" s="94"/>
    </row>
    <row r="47" spans="1:18" ht="13">
      <c r="A47" s="225"/>
      <c r="B47" s="289" t="s">
        <v>85</v>
      </c>
      <c r="C47" s="35"/>
      <c r="D47" s="778">
        <f>D46/D24</f>
        <v>164.17000000000002</v>
      </c>
      <c r="E47" s="649"/>
      <c r="F47" s="778">
        <f>F46/F24</f>
        <v>254.76</v>
      </c>
      <c r="G47" s="650"/>
      <c r="H47" s="778">
        <f>H46/H24</f>
        <v>281.42</v>
      </c>
      <c r="I47" s="650"/>
      <c r="J47" s="778">
        <f>J46/J24</f>
        <v>321.41999999999996</v>
      </c>
      <c r="K47" s="650"/>
      <c r="L47" s="778">
        <f>L46/L24</f>
        <v>485.86999999999995</v>
      </c>
      <c r="M47" s="649"/>
      <c r="N47" s="778">
        <f>N46/N24</f>
        <v>222.2</v>
      </c>
      <c r="O47" s="35"/>
      <c r="P47" s="35"/>
      <c r="Q47" s="651"/>
      <c r="R47" s="94"/>
    </row>
    <row r="48" spans="1:18" ht="13">
      <c r="A48" s="225"/>
      <c r="G48" s="652"/>
      <c r="H48" s="652"/>
      <c r="I48" s="652"/>
      <c r="J48" s="652"/>
      <c r="K48" s="652"/>
      <c r="L48" s="652"/>
      <c r="M48" s="652"/>
      <c r="N48" s="652"/>
      <c r="O48" s="652"/>
      <c r="P48" s="652"/>
      <c r="Q48" s="652"/>
      <c r="R48" s="94"/>
    </row>
    <row r="49" spans="1:18">
      <c r="A49" s="225"/>
      <c r="C49" s="609"/>
      <c r="D49" s="609"/>
      <c r="F49" s="609"/>
      <c r="L49" s="609"/>
      <c r="M49" s="609"/>
      <c r="N49" s="609"/>
      <c r="Q49" s="609"/>
      <c r="R49" s="94"/>
    </row>
    <row r="50" spans="1:18" ht="18">
      <c r="A50" s="225"/>
      <c r="B50" s="226" t="s">
        <v>31</v>
      </c>
      <c r="D50" s="610" t="s">
        <v>5</v>
      </c>
      <c r="E50" s="610"/>
      <c r="F50" s="610" t="s">
        <v>6</v>
      </c>
      <c r="H50" s="610" t="s">
        <v>181</v>
      </c>
      <c r="I50" s="610"/>
      <c r="J50" s="610" t="s">
        <v>182</v>
      </c>
      <c r="K50" s="610"/>
      <c r="L50" s="610" t="s">
        <v>183</v>
      </c>
      <c r="M50" s="610"/>
      <c r="N50" s="610" t="s">
        <v>226</v>
      </c>
      <c r="R50" s="94"/>
    </row>
    <row r="51" spans="1:18">
      <c r="A51" s="225"/>
      <c r="B51" s="222" t="s">
        <v>54</v>
      </c>
      <c r="C51" s="223"/>
      <c r="D51" s="654">
        <v>0.18400000000000005</v>
      </c>
      <c r="E51" s="653"/>
      <c r="F51" s="654">
        <v>0.128</v>
      </c>
      <c r="G51" s="654"/>
      <c r="H51" s="654">
        <v>7.6000000000000054E-2</v>
      </c>
      <c r="I51" s="654"/>
      <c r="J51" s="654">
        <v>5.3000000000000033E-2</v>
      </c>
      <c r="K51" s="654"/>
      <c r="L51" s="654">
        <v>2.700000000000001E-2</v>
      </c>
      <c r="M51" s="654"/>
      <c r="N51" s="654">
        <v>1.4999999999999999E-2</v>
      </c>
      <c r="O51" s="653"/>
      <c r="P51" s="654"/>
      <c r="Q51" s="655"/>
      <c r="R51" s="94"/>
    </row>
    <row r="52" spans="1:18">
      <c r="A52" s="225"/>
      <c r="B52" s="289" t="s">
        <v>227</v>
      </c>
      <c r="C52" s="35"/>
      <c r="D52" s="657">
        <f>1-'5. Outstanding Notes'!D33/'1. Portfolio Information'!$F$32+'2. Reserve Accounts'!$D$24/'1. Portfolio Information'!$F$32</f>
        <v>0.23932898292614568</v>
      </c>
      <c r="E52" s="657"/>
      <c r="F52" s="657">
        <f>1-SUM('5. Outstanding Notes'!F33,D33)/'1. Portfolio Information'!$F$32+'2. Reserve Accounts'!$D$24/'1. Portfolio Information'!$F$32</f>
        <v>0.16510723524043158</v>
      </c>
      <c r="G52" s="657"/>
      <c r="H52" s="657">
        <f>1-SUM('5. Outstanding Notes'!H33,F33,D33)/'1. Portfolio Information'!$F$32+'2. Reserve Accounts'!$D$24/'1. Portfolio Information'!$F$32</f>
        <v>9.6187040960840076E-2</v>
      </c>
      <c r="I52" s="657"/>
      <c r="J52" s="657">
        <f>1-SUM('5. Outstanding Notes'!J33,H33,F33,D33)/'1. Portfolio Information'!$F$32+'2. Reserve Accounts'!$D$24/'1. Portfolio Information'!$F$32</f>
        <v>6.5703108875636129E-2</v>
      </c>
      <c r="K52" s="657"/>
      <c r="L52" s="657">
        <f>1-SUM('5. Outstanding Notes'!L33,J33,H33,F33,D33)/'1. Portfolio Information'!$F$32+'2. Reserve Accounts'!$D$24/'1. Portfolio Information'!$F$32</f>
        <v>3.124301173584032E-2</v>
      </c>
      <c r="M52" s="657"/>
      <c r="N52" s="657">
        <f>1-SUM(L33,J33,H33,F33,D33,'5. Outstanding Notes'!N33)/'1. Portfolio Information'!$F$32+'2. Reserve Accounts'!$D$24/'1. Portfolio Information'!$F$32</f>
        <v>2.5941458329717948E-2</v>
      </c>
      <c r="O52" s="656"/>
      <c r="P52" s="657"/>
      <c r="Q52" s="658"/>
      <c r="R52" s="94"/>
    </row>
    <row r="53" spans="1:18">
      <c r="A53" s="225"/>
      <c r="D53" s="645"/>
      <c r="E53" s="645"/>
      <c r="F53" s="645"/>
      <c r="G53" s="645"/>
      <c r="H53" s="645"/>
      <c r="I53" s="645"/>
      <c r="J53" s="645"/>
      <c r="K53" s="645"/>
      <c r="L53" s="645"/>
      <c r="M53" s="645"/>
      <c r="N53" s="645"/>
      <c r="O53" s="645"/>
      <c r="P53" s="645"/>
      <c r="Q53" s="645"/>
      <c r="R53" s="94"/>
    </row>
    <row r="54" spans="1:18">
      <c r="A54" s="225"/>
      <c r="B54" s="65"/>
      <c r="D54" s="645"/>
      <c r="E54" s="645"/>
      <c r="F54" s="645"/>
      <c r="G54" s="645"/>
      <c r="H54" s="645"/>
      <c r="I54" s="645"/>
      <c r="J54" s="645"/>
      <c r="K54" s="645"/>
      <c r="L54" s="645"/>
      <c r="M54" s="645"/>
      <c r="N54" s="645"/>
      <c r="O54" s="645"/>
      <c r="P54" s="645"/>
      <c r="Q54" s="645"/>
      <c r="R54" s="94"/>
    </row>
    <row r="55" spans="1:18" ht="13.5" customHeight="1">
      <c r="A55" s="289"/>
      <c r="B55" s="35" t="s">
        <v>809</v>
      </c>
      <c r="C55" s="35"/>
      <c r="D55" s="35"/>
      <c r="E55" s="35"/>
      <c r="F55" s="35"/>
      <c r="G55" s="35"/>
      <c r="H55" s="35"/>
      <c r="I55" s="35"/>
      <c r="J55" s="35"/>
      <c r="K55" s="35"/>
      <c r="L55" s="35"/>
      <c r="M55" s="35"/>
      <c r="N55" s="35"/>
      <c r="O55" s="35"/>
      <c r="P55" s="35"/>
      <c r="Q55" s="35"/>
      <c r="R55" s="95"/>
    </row>
  </sheetData>
  <pageMargins left="0.70866141732283472" right="0.70866141732283472" top="0.78740157480314965" bottom="0.78740157480314965" header="0.31496062992125984" footer="0.31496062992125984"/>
  <pageSetup paperSize="9" scale="46"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Q284"/>
  <sheetViews>
    <sheetView view="pageBreakPreview" zoomScale="80" zoomScaleNormal="75"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1796875" style="18" customWidth="1"/>
    <col min="4" max="4" width="22" style="18" customWidth="1"/>
    <col min="5" max="5" width="18.54296875" style="18" customWidth="1"/>
    <col min="6" max="6" width="17.1796875" style="18" customWidth="1"/>
    <col min="7" max="8" width="19" style="18" customWidth="1"/>
    <col min="9" max="9" width="9.1796875" style="18" customWidth="1"/>
    <col min="10" max="10" width="15.453125" style="18" customWidth="1"/>
    <col min="11" max="11" width="1.1796875" style="18" customWidth="1"/>
    <col min="12" max="12" width="4.1796875" style="18" customWidth="1"/>
    <col min="13" max="13" width="22" style="18" customWidth="1"/>
    <col min="14" max="14" width="18.54296875" style="18" customWidth="1"/>
    <col min="15" max="15" width="17.17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164</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45" customHeight="1" thickBot="1">
      <c r="A13" s="114"/>
      <c r="B13" s="438"/>
      <c r="D13" s="595" t="s">
        <v>68</v>
      </c>
      <c r="E13" s="589" t="s">
        <v>69</v>
      </c>
      <c r="F13" s="426" t="s">
        <v>114</v>
      </c>
      <c r="G13" s="589" t="s">
        <v>62</v>
      </c>
      <c r="H13" s="573" t="s">
        <v>115</v>
      </c>
      <c r="I13" s="111"/>
      <c r="K13" s="119"/>
      <c r="M13" s="203"/>
      <c r="N13" s="439"/>
      <c r="O13" s="202"/>
      <c r="P13" s="439"/>
      <c r="Q13" s="439"/>
    </row>
    <row r="14" spans="1:17">
      <c r="A14" s="114"/>
      <c r="B14" s="168"/>
      <c r="C14" s="168"/>
      <c r="D14" s="590" t="s">
        <v>581</v>
      </c>
      <c r="E14" s="591">
        <f t="shared" ref="E14:E45" si="0">VLOOKUP(CONCATENATE("OPB_",D14),Assets_Daten,3,0)</f>
        <v>1566489.4200000016</v>
      </c>
      <c r="F14" s="592">
        <f>E14/$E$65</f>
        <v>1.0772283748206263E-3</v>
      </c>
      <c r="G14" s="593">
        <f t="shared" ref="G14:G45" si="1">VLOOKUP(CONCATENATE("OPB_",D14),Assets_Daten,2,0)</f>
        <v>1175</v>
      </c>
      <c r="H14" s="594">
        <f>G14/$G$65</f>
        <v>1.7141523334354529E-2</v>
      </c>
      <c r="I14" s="111"/>
      <c r="K14" s="119"/>
      <c r="M14" s="184"/>
      <c r="N14" s="12"/>
      <c r="O14" s="185"/>
      <c r="P14" s="186"/>
      <c r="Q14" s="185"/>
    </row>
    <row r="15" spans="1:17">
      <c r="A15" s="114"/>
      <c r="B15" s="13"/>
      <c r="C15" s="12"/>
      <c r="D15" s="590" t="s">
        <v>582</v>
      </c>
      <c r="E15" s="591">
        <f t="shared" si="0"/>
        <v>13727352.369999796</v>
      </c>
      <c r="F15" s="592">
        <f t="shared" ref="F15:F64" si="2">E15/$E$65</f>
        <v>9.4398936215764149E-3</v>
      </c>
      <c r="G15" s="593">
        <f t="shared" si="1"/>
        <v>4811</v>
      </c>
      <c r="H15" s="594">
        <f t="shared" ref="H15:H64" si="3">G15/$G$65</f>
        <v>7.0185420222620976E-2</v>
      </c>
      <c r="I15" s="111"/>
      <c r="K15" s="119"/>
      <c r="M15" s="184"/>
      <c r="N15" s="12"/>
      <c r="O15" s="185"/>
      <c r="P15" s="186"/>
      <c r="Q15" s="185"/>
    </row>
    <row r="16" spans="1:17">
      <c r="A16" s="114"/>
      <c r="B16" s="13"/>
      <c r="C16" s="12"/>
      <c r="D16" s="590" t="s">
        <v>583</v>
      </c>
      <c r="E16" s="591">
        <f t="shared" si="0"/>
        <v>30282952.450000431</v>
      </c>
      <c r="F16" s="592">
        <f t="shared" si="2"/>
        <v>2.0824689420809644E-2</v>
      </c>
      <c r="G16" s="593">
        <f t="shared" si="1"/>
        <v>6187</v>
      </c>
      <c r="H16" s="594">
        <f t="shared" si="3"/>
        <v>9.0259238186937429E-2</v>
      </c>
      <c r="I16" s="111"/>
      <c r="K16" s="119"/>
      <c r="M16" s="184"/>
      <c r="N16" s="12"/>
      <c r="O16" s="185"/>
      <c r="P16" s="186"/>
      <c r="Q16" s="185"/>
    </row>
    <row r="17" spans="1:17">
      <c r="A17" s="114"/>
      <c r="B17" s="13"/>
      <c r="C17" s="12"/>
      <c r="D17" s="590" t="s">
        <v>584</v>
      </c>
      <c r="E17" s="591">
        <f t="shared" si="0"/>
        <v>40393681.299999952</v>
      </c>
      <c r="F17" s="592">
        <f t="shared" si="2"/>
        <v>2.7777538171832164E-2</v>
      </c>
      <c r="G17" s="593">
        <f t="shared" si="1"/>
        <v>5843</v>
      </c>
      <c r="H17" s="594">
        <f t="shared" si="3"/>
        <v>8.5240783695858316E-2</v>
      </c>
      <c r="I17" s="111"/>
      <c r="K17" s="119"/>
      <c r="M17" s="184"/>
      <c r="N17" s="12"/>
      <c r="O17" s="185"/>
      <c r="P17" s="186"/>
      <c r="Q17" s="185"/>
    </row>
    <row r="18" spans="1:17">
      <c r="A18" s="114"/>
      <c r="B18" s="13"/>
      <c r="C18" s="12"/>
      <c r="D18" s="590" t="s">
        <v>585</v>
      </c>
      <c r="E18" s="591">
        <f t="shared" si="0"/>
        <v>37258402.669999972</v>
      </c>
      <c r="F18" s="592">
        <f t="shared" si="2"/>
        <v>2.5621499924727554E-2</v>
      </c>
      <c r="G18" s="593">
        <f t="shared" si="1"/>
        <v>4209</v>
      </c>
      <c r="H18" s="594">
        <f t="shared" si="3"/>
        <v>6.1403124863232524E-2</v>
      </c>
      <c r="I18" s="111"/>
      <c r="K18" s="119"/>
      <c r="M18" s="184"/>
      <c r="N18" s="12"/>
      <c r="O18" s="185"/>
      <c r="P18" s="186"/>
      <c r="Q18" s="185"/>
    </row>
    <row r="19" spans="1:17">
      <c r="A19" s="114"/>
      <c r="B19" s="13"/>
      <c r="C19" s="12"/>
      <c r="D19" s="590" t="s">
        <v>586</v>
      </c>
      <c r="E19" s="591">
        <f t="shared" si="0"/>
        <v>59097065.689998724</v>
      </c>
      <c r="F19" s="592">
        <f t="shared" si="2"/>
        <v>4.0639301623821407E-2</v>
      </c>
      <c r="G19" s="593">
        <f t="shared" si="1"/>
        <v>5564</v>
      </c>
      <c r="H19" s="594">
        <f t="shared" si="3"/>
        <v>8.1170583687105197E-2</v>
      </c>
      <c r="I19" s="111"/>
      <c r="K19" s="119"/>
      <c r="M19" s="184"/>
      <c r="N19" s="12"/>
      <c r="O19" s="185"/>
      <c r="P19" s="186"/>
      <c r="Q19" s="185"/>
    </row>
    <row r="20" spans="1:17">
      <c r="A20" s="114"/>
      <c r="B20" s="13"/>
      <c r="C20" s="12"/>
      <c r="D20" s="590" t="s">
        <v>587</v>
      </c>
      <c r="E20" s="591">
        <f t="shared" si="0"/>
        <v>45786236.23000019</v>
      </c>
      <c r="F20" s="592">
        <f t="shared" si="2"/>
        <v>3.148583847007172E-2</v>
      </c>
      <c r="G20" s="593">
        <f t="shared" si="1"/>
        <v>3558</v>
      </c>
      <c r="H20" s="594">
        <f t="shared" si="3"/>
        <v>5.1905991509475252E-2</v>
      </c>
      <c r="I20" s="111"/>
      <c r="K20" s="119"/>
      <c r="M20" s="184"/>
      <c r="N20" s="12"/>
      <c r="O20" s="185"/>
      <c r="P20" s="186"/>
      <c r="Q20" s="185"/>
    </row>
    <row r="21" spans="1:17">
      <c r="A21" s="114"/>
      <c r="B21" s="13"/>
      <c r="C21" s="12"/>
      <c r="D21" s="107" t="s">
        <v>588</v>
      </c>
      <c r="E21" s="591">
        <f t="shared" si="0"/>
        <v>57833629.189999685</v>
      </c>
      <c r="F21" s="592">
        <f t="shared" si="2"/>
        <v>3.9770473765677924E-2</v>
      </c>
      <c r="G21" s="593">
        <f t="shared" si="1"/>
        <v>3838</v>
      </c>
      <c r="H21" s="594">
        <f t="shared" si="3"/>
        <v>5.5990780048725694E-2</v>
      </c>
      <c r="I21" s="111"/>
      <c r="K21" s="119"/>
      <c r="M21" s="184"/>
      <c r="N21" s="12"/>
      <c r="O21" s="185"/>
      <c r="P21" s="186"/>
      <c r="Q21" s="185"/>
    </row>
    <row r="22" spans="1:17">
      <c r="A22" s="114"/>
      <c r="B22" s="13"/>
      <c r="C22" s="12"/>
      <c r="D22" s="590" t="s">
        <v>589</v>
      </c>
      <c r="E22" s="591">
        <f t="shared" si="0"/>
        <v>41901521.860000148</v>
      </c>
      <c r="F22" s="592">
        <f t="shared" si="2"/>
        <v>2.8814435462806293E-2</v>
      </c>
      <c r="G22" s="593">
        <f t="shared" si="1"/>
        <v>2469</v>
      </c>
      <c r="H22" s="594">
        <f t="shared" si="3"/>
        <v>3.6019081797890498E-2</v>
      </c>
      <c r="I22" s="111"/>
      <c r="K22" s="119"/>
      <c r="M22" s="184"/>
      <c r="N22" s="12"/>
      <c r="O22" s="185"/>
      <c r="P22" s="186"/>
      <c r="Q22" s="185"/>
    </row>
    <row r="23" spans="1:17">
      <c r="A23" s="114"/>
      <c r="B23" s="13"/>
      <c r="C23" s="12"/>
      <c r="D23" s="590" t="s">
        <v>590</v>
      </c>
      <c r="E23" s="591">
        <f t="shared" si="0"/>
        <v>44534932.770000033</v>
      </c>
      <c r="F23" s="592">
        <f t="shared" si="2"/>
        <v>3.0625354144155622E-2</v>
      </c>
      <c r="G23" s="593">
        <f t="shared" si="1"/>
        <v>2353</v>
      </c>
      <c r="H23" s="594">
        <f t="shared" si="3"/>
        <v>3.4326812260201033E-2</v>
      </c>
      <c r="I23" s="111"/>
      <c r="K23" s="119"/>
      <c r="M23" s="184"/>
      <c r="N23" s="12"/>
      <c r="O23" s="185"/>
      <c r="P23" s="186"/>
      <c r="Q23" s="185"/>
    </row>
    <row r="24" spans="1:17">
      <c r="A24" s="114"/>
      <c r="B24" s="13"/>
      <c r="C24" s="12"/>
      <c r="D24" s="590" t="s">
        <v>591</v>
      </c>
      <c r="E24" s="591">
        <f t="shared" si="0"/>
        <v>69815431.349999413</v>
      </c>
      <c r="F24" s="592">
        <f t="shared" si="2"/>
        <v>4.8010004210919464E-2</v>
      </c>
      <c r="G24" s="593">
        <f t="shared" si="1"/>
        <v>3372</v>
      </c>
      <c r="H24" s="594">
        <f t="shared" si="3"/>
        <v>4.9192524836973173E-2</v>
      </c>
      <c r="I24" s="111"/>
      <c r="K24" s="119"/>
      <c r="M24" s="184"/>
      <c r="N24" s="12"/>
      <c r="O24" s="185"/>
      <c r="P24" s="186"/>
      <c r="Q24" s="185"/>
    </row>
    <row r="25" spans="1:17">
      <c r="A25" s="114"/>
      <c r="B25" s="13"/>
      <c r="C25" s="12"/>
      <c r="D25" s="590" t="s">
        <v>592</v>
      </c>
      <c r="E25" s="591">
        <f t="shared" si="0"/>
        <v>46557478.369999997</v>
      </c>
      <c r="F25" s="592">
        <f t="shared" si="2"/>
        <v>3.2016198845608232E-2</v>
      </c>
      <c r="G25" s="593">
        <f t="shared" si="1"/>
        <v>2030</v>
      </c>
      <c r="H25" s="594">
        <f t="shared" si="3"/>
        <v>2.96147169095657E-2</v>
      </c>
      <c r="I25" s="111"/>
      <c r="K25" s="119"/>
      <c r="M25" s="184"/>
      <c r="N25" s="12"/>
      <c r="O25" s="185"/>
      <c r="P25" s="186"/>
      <c r="Q25" s="185"/>
    </row>
    <row r="26" spans="1:17">
      <c r="A26" s="114"/>
      <c r="B26" s="13"/>
      <c r="C26" s="12"/>
      <c r="D26" s="590" t="s">
        <v>593</v>
      </c>
      <c r="E26" s="591">
        <f t="shared" si="0"/>
        <v>58028627.97000017</v>
      </c>
      <c r="F26" s="592">
        <f t="shared" si="2"/>
        <v>3.990456865083325E-2</v>
      </c>
      <c r="G26" s="593">
        <f t="shared" si="1"/>
        <v>2328</v>
      </c>
      <c r="H26" s="594">
        <f t="shared" si="3"/>
        <v>3.3962098997767955E-2</v>
      </c>
      <c r="I26" s="111"/>
      <c r="K26" s="119"/>
      <c r="M26" s="184"/>
      <c r="N26" s="12"/>
      <c r="O26" s="185"/>
      <c r="P26" s="186"/>
      <c r="Q26" s="185"/>
    </row>
    <row r="27" spans="1:17">
      <c r="A27" s="114"/>
      <c r="B27" s="13"/>
      <c r="C27" s="12"/>
      <c r="D27" s="590" t="s">
        <v>594</v>
      </c>
      <c r="E27" s="591">
        <f t="shared" si="0"/>
        <v>53411314.200000189</v>
      </c>
      <c r="F27" s="592">
        <f t="shared" si="2"/>
        <v>3.6729378735733807E-2</v>
      </c>
      <c r="G27" s="593">
        <f t="shared" si="1"/>
        <v>1993</v>
      </c>
      <c r="H27" s="594">
        <f t="shared" si="3"/>
        <v>2.9074941281164748E-2</v>
      </c>
      <c r="I27" s="111"/>
      <c r="K27" s="119"/>
      <c r="M27" s="184"/>
      <c r="N27" s="12"/>
      <c r="O27" s="185"/>
      <c r="P27" s="186"/>
      <c r="Q27" s="185"/>
    </row>
    <row r="28" spans="1:17">
      <c r="A28" s="114"/>
      <c r="B28" s="13"/>
      <c r="C28" s="12"/>
      <c r="D28" s="590" t="s">
        <v>595</v>
      </c>
      <c r="E28" s="591">
        <f t="shared" si="0"/>
        <v>42806707.709999934</v>
      </c>
      <c r="F28" s="592">
        <f t="shared" si="2"/>
        <v>2.9436904960305925E-2</v>
      </c>
      <c r="G28" s="593">
        <f t="shared" si="1"/>
        <v>1479</v>
      </c>
      <c r="H28" s="594">
        <f t="shared" si="3"/>
        <v>2.1576436605540723E-2</v>
      </c>
      <c r="I28" s="111"/>
      <c r="K28" s="119"/>
      <c r="M28" s="184"/>
      <c r="N28" s="12"/>
      <c r="O28" s="185"/>
      <c r="P28" s="186"/>
      <c r="Q28" s="185"/>
    </row>
    <row r="29" spans="1:17">
      <c r="A29" s="114"/>
      <c r="B29" s="13"/>
      <c r="C29" s="12"/>
      <c r="D29" s="590" t="s">
        <v>596</v>
      </c>
      <c r="E29" s="591">
        <f t="shared" si="0"/>
        <v>67629446.790000036</v>
      </c>
      <c r="F29" s="592">
        <f t="shared" si="2"/>
        <v>4.6506767377726486E-2</v>
      </c>
      <c r="G29" s="593">
        <f t="shared" si="1"/>
        <v>2196</v>
      </c>
      <c r="H29" s="594">
        <f t="shared" si="3"/>
        <v>3.2036412972121321E-2</v>
      </c>
      <c r="I29" s="111"/>
      <c r="K29" s="119"/>
      <c r="M29" s="184"/>
      <c r="N29" s="12"/>
      <c r="O29" s="185"/>
      <c r="P29" s="186"/>
      <c r="Q29" s="185"/>
    </row>
    <row r="30" spans="1:17">
      <c r="A30" s="114"/>
      <c r="B30" s="13"/>
      <c r="C30" s="12"/>
      <c r="D30" s="590" t="s">
        <v>597</v>
      </c>
      <c r="E30" s="591">
        <f t="shared" si="0"/>
        <v>40844136.050000004</v>
      </c>
      <c r="F30" s="592">
        <f t="shared" si="2"/>
        <v>2.8087302560967194E-2</v>
      </c>
      <c r="G30" s="593">
        <f t="shared" si="1"/>
        <v>1240</v>
      </c>
      <c r="H30" s="594">
        <f t="shared" si="3"/>
        <v>1.8089777816680527E-2</v>
      </c>
      <c r="I30" s="111"/>
      <c r="J30" s="111"/>
      <c r="K30" s="119"/>
      <c r="M30" s="184"/>
      <c r="N30" s="12"/>
      <c r="O30" s="185"/>
      <c r="P30" s="186"/>
      <c r="Q30" s="185"/>
    </row>
    <row r="31" spans="1:17">
      <c r="A31" s="114"/>
      <c r="B31" s="13"/>
      <c r="C31" s="12"/>
      <c r="D31" s="590" t="s">
        <v>598</v>
      </c>
      <c r="E31" s="591">
        <f t="shared" si="0"/>
        <v>48302469.449999988</v>
      </c>
      <c r="F31" s="592">
        <f t="shared" si="2"/>
        <v>3.3216177524803443E-2</v>
      </c>
      <c r="G31" s="593">
        <f t="shared" si="1"/>
        <v>1382</v>
      </c>
      <c r="H31" s="594">
        <f t="shared" si="3"/>
        <v>2.0161349147300393E-2</v>
      </c>
      <c r="I31" s="111"/>
      <c r="J31" s="111"/>
      <c r="K31" s="119"/>
      <c r="M31" s="184"/>
      <c r="N31" s="12"/>
      <c r="O31" s="185"/>
      <c r="P31" s="186"/>
      <c r="Q31" s="185"/>
    </row>
    <row r="32" spans="1:17">
      <c r="A32" s="114"/>
      <c r="B32" s="13"/>
      <c r="C32" s="12"/>
      <c r="D32" s="590" t="s">
        <v>599</v>
      </c>
      <c r="E32" s="591">
        <f t="shared" si="0"/>
        <v>45376923.17999994</v>
      </c>
      <c r="F32" s="592">
        <f t="shared" si="2"/>
        <v>3.1204366009412111E-2</v>
      </c>
      <c r="G32" s="593">
        <f t="shared" si="1"/>
        <v>1230</v>
      </c>
      <c r="H32" s="594">
        <f t="shared" si="3"/>
        <v>1.7943892511707294E-2</v>
      </c>
      <c r="I32" s="111"/>
      <c r="J32" s="111"/>
      <c r="K32" s="119"/>
      <c r="M32" s="184"/>
      <c r="N32" s="12"/>
      <c r="O32" s="185"/>
      <c r="P32" s="186"/>
      <c r="Q32" s="185"/>
    </row>
    <row r="33" spans="1:17">
      <c r="A33" s="114"/>
      <c r="B33" s="13"/>
      <c r="C33" s="12"/>
      <c r="D33" s="590" t="s">
        <v>600</v>
      </c>
      <c r="E33" s="591">
        <f t="shared" si="0"/>
        <v>35937176.099999994</v>
      </c>
      <c r="F33" s="592">
        <f t="shared" si="2"/>
        <v>2.4712931547182494E-2</v>
      </c>
      <c r="G33" s="593">
        <f t="shared" si="1"/>
        <v>923</v>
      </c>
      <c r="H33" s="594">
        <f t="shared" si="3"/>
        <v>1.3465213649029133E-2</v>
      </c>
      <c r="I33" s="111"/>
      <c r="J33" s="111"/>
      <c r="K33" s="119"/>
      <c r="M33" s="184"/>
      <c r="N33" s="12"/>
      <c r="O33" s="185"/>
      <c r="P33" s="186"/>
      <c r="Q33" s="185"/>
    </row>
    <row r="34" spans="1:17">
      <c r="A34" s="114"/>
      <c r="B34" s="13"/>
      <c r="C34" s="12"/>
      <c r="D34" s="590" t="s">
        <v>601</v>
      </c>
      <c r="E34" s="591">
        <f t="shared" si="0"/>
        <v>56868047.649999782</v>
      </c>
      <c r="F34" s="592">
        <f t="shared" si="2"/>
        <v>3.9106471941081564E-2</v>
      </c>
      <c r="G34" s="593">
        <f t="shared" si="1"/>
        <v>1390</v>
      </c>
      <c r="H34" s="594">
        <f t="shared" si="3"/>
        <v>2.0278057391278977E-2</v>
      </c>
      <c r="I34" s="111"/>
      <c r="J34" s="111"/>
      <c r="K34" s="119"/>
      <c r="M34" s="184"/>
      <c r="N34" s="12"/>
      <c r="O34" s="185"/>
      <c r="P34" s="186"/>
      <c r="Q34" s="185"/>
    </row>
    <row r="35" spans="1:17">
      <c r="A35" s="114"/>
      <c r="B35" s="13"/>
      <c r="C35" s="12"/>
      <c r="D35" s="590" t="s">
        <v>602</v>
      </c>
      <c r="E35" s="591">
        <f t="shared" si="0"/>
        <v>34987948.95000001</v>
      </c>
      <c r="F35" s="592">
        <f t="shared" si="2"/>
        <v>2.4060176152173124E-2</v>
      </c>
      <c r="G35" s="593">
        <f t="shared" si="1"/>
        <v>815</v>
      </c>
      <c r="H35" s="594">
        <f t="shared" si="3"/>
        <v>1.1889652355318249E-2</v>
      </c>
      <c r="I35" s="111"/>
      <c r="J35" s="111"/>
      <c r="K35" s="119"/>
      <c r="M35" s="184"/>
      <c r="N35" s="12"/>
      <c r="O35" s="185"/>
      <c r="P35" s="186"/>
      <c r="Q35" s="185"/>
    </row>
    <row r="36" spans="1:17">
      <c r="A36" s="114"/>
      <c r="B36" s="13"/>
      <c r="C36" s="12"/>
      <c r="D36" s="590" t="s">
        <v>603</v>
      </c>
      <c r="E36" s="591">
        <f t="shared" si="0"/>
        <v>36250143.840000041</v>
      </c>
      <c r="F36" s="592">
        <f t="shared" si="2"/>
        <v>2.4928150191896693E-2</v>
      </c>
      <c r="G36" s="593">
        <f t="shared" si="1"/>
        <v>806</v>
      </c>
      <c r="H36" s="594">
        <f t="shared" si="3"/>
        <v>1.1758355580842341E-2</v>
      </c>
      <c r="I36" s="111"/>
      <c r="J36" s="111"/>
      <c r="K36" s="119"/>
      <c r="M36" s="184"/>
      <c r="N36" s="12"/>
      <c r="O36" s="185"/>
      <c r="P36" s="186"/>
      <c r="Q36" s="185"/>
    </row>
    <row r="37" spans="1:17">
      <c r="A37" s="114"/>
      <c r="B37" s="13"/>
      <c r="C37" s="12"/>
      <c r="D37" s="590" t="s">
        <v>604</v>
      </c>
      <c r="E37" s="591">
        <f t="shared" si="0"/>
        <v>35929263.86999993</v>
      </c>
      <c r="F37" s="592">
        <f t="shared" si="2"/>
        <v>2.470749054097118E-2</v>
      </c>
      <c r="G37" s="593">
        <f t="shared" si="1"/>
        <v>765</v>
      </c>
      <c r="H37" s="594">
        <f t="shared" si="3"/>
        <v>1.1160225830452099E-2</v>
      </c>
      <c r="I37" s="111"/>
      <c r="J37" s="111"/>
      <c r="K37" s="119"/>
      <c r="M37" s="184"/>
      <c r="N37" s="12"/>
      <c r="O37" s="185"/>
      <c r="P37" s="186"/>
      <c r="Q37" s="185"/>
    </row>
    <row r="38" spans="1:17">
      <c r="A38" s="114"/>
      <c r="B38" s="13"/>
      <c r="C38" s="12"/>
      <c r="D38" s="590" t="s">
        <v>605</v>
      </c>
      <c r="E38" s="591">
        <f t="shared" si="0"/>
        <v>27660385.969999995</v>
      </c>
      <c r="F38" s="592">
        <f t="shared" si="2"/>
        <v>1.9021228132759631E-2</v>
      </c>
      <c r="G38" s="593">
        <f t="shared" si="1"/>
        <v>565</v>
      </c>
      <c r="H38" s="594">
        <f t="shared" si="3"/>
        <v>8.2425197309874982E-3</v>
      </c>
      <c r="I38" s="111"/>
      <c r="J38" s="111"/>
      <c r="K38" s="119"/>
      <c r="M38" s="184"/>
      <c r="N38" s="12"/>
      <c r="O38" s="185"/>
      <c r="P38" s="186"/>
      <c r="Q38" s="185"/>
    </row>
    <row r="39" spans="1:17">
      <c r="A39" s="114"/>
      <c r="B39" s="13"/>
      <c r="C39" s="12"/>
      <c r="D39" s="590" t="s">
        <v>606</v>
      </c>
      <c r="E39" s="591">
        <f t="shared" si="0"/>
        <v>43200414.709999979</v>
      </c>
      <c r="F39" s="592">
        <f t="shared" si="2"/>
        <v>2.9707645602630565E-2</v>
      </c>
      <c r="G39" s="593">
        <f t="shared" si="1"/>
        <v>855</v>
      </c>
      <c r="H39" s="594">
        <f t="shared" si="3"/>
        <v>1.2473193575211169E-2</v>
      </c>
      <c r="I39" s="111"/>
      <c r="J39" s="111"/>
      <c r="K39" s="119"/>
      <c r="M39" s="184"/>
      <c r="N39" s="12"/>
      <c r="O39" s="185"/>
      <c r="P39" s="186"/>
      <c r="Q39" s="185"/>
    </row>
    <row r="40" spans="1:17">
      <c r="A40" s="114"/>
      <c r="B40" s="13"/>
      <c r="C40" s="12"/>
      <c r="D40" s="590" t="s">
        <v>607</v>
      </c>
      <c r="E40" s="591">
        <f t="shared" si="0"/>
        <v>37271221.849999979</v>
      </c>
      <c r="F40" s="592">
        <f t="shared" si="2"/>
        <v>2.5630315295110295E-2</v>
      </c>
      <c r="G40" s="593">
        <f t="shared" si="1"/>
        <v>707</v>
      </c>
      <c r="H40" s="594">
        <f t="shared" si="3"/>
        <v>1.0314091061607364E-2</v>
      </c>
      <c r="I40" s="111"/>
      <c r="K40" s="119"/>
      <c r="M40" s="184"/>
      <c r="N40" s="12"/>
      <c r="O40" s="185"/>
      <c r="P40" s="186"/>
      <c r="Q40" s="185"/>
    </row>
    <row r="41" spans="1:17">
      <c r="A41" s="114"/>
      <c r="B41" s="13"/>
      <c r="C41" s="12"/>
      <c r="D41" s="590" t="s">
        <v>608</v>
      </c>
      <c r="E41" s="591">
        <f t="shared" si="0"/>
        <v>26933109.780000005</v>
      </c>
      <c r="F41" s="592">
        <f t="shared" si="2"/>
        <v>1.8521101838769451E-2</v>
      </c>
      <c r="G41" s="593">
        <f t="shared" si="1"/>
        <v>490</v>
      </c>
      <c r="H41" s="594">
        <f t="shared" si="3"/>
        <v>7.1483799436882723E-3</v>
      </c>
      <c r="I41" s="111"/>
      <c r="K41" s="119"/>
      <c r="M41" s="184"/>
      <c r="N41" s="12"/>
      <c r="O41" s="185"/>
      <c r="P41" s="186"/>
      <c r="Q41" s="185"/>
    </row>
    <row r="42" spans="1:17">
      <c r="A42" s="114"/>
      <c r="B42" s="13"/>
      <c r="C42" s="12"/>
      <c r="D42" s="590" t="s">
        <v>609</v>
      </c>
      <c r="E42" s="591">
        <f t="shared" si="0"/>
        <v>23836823.139999986</v>
      </c>
      <c r="F42" s="592">
        <f t="shared" si="2"/>
        <v>1.6391877228247642E-2</v>
      </c>
      <c r="G42" s="593">
        <f t="shared" si="1"/>
        <v>418</v>
      </c>
      <c r="H42" s="594">
        <f t="shared" si="3"/>
        <v>6.0980057478810159E-3</v>
      </c>
      <c r="I42" s="111"/>
      <c r="K42" s="119"/>
      <c r="M42" s="184"/>
      <c r="N42" s="12"/>
      <c r="O42" s="185"/>
      <c r="P42" s="186"/>
      <c r="Q42" s="185"/>
    </row>
    <row r="43" spans="1:17">
      <c r="A43" s="114"/>
      <c r="B43" s="13"/>
      <c r="C43" s="12"/>
      <c r="D43" s="590" t="s">
        <v>610</v>
      </c>
      <c r="E43" s="591">
        <f t="shared" si="0"/>
        <v>21453714.25</v>
      </c>
      <c r="F43" s="592">
        <f t="shared" si="2"/>
        <v>1.4753083832122905E-2</v>
      </c>
      <c r="G43" s="593">
        <f t="shared" si="1"/>
        <v>364</v>
      </c>
      <c r="H43" s="594">
        <f t="shared" si="3"/>
        <v>5.3102251010255733E-3</v>
      </c>
      <c r="I43" s="111"/>
      <c r="K43" s="119"/>
      <c r="M43" s="184"/>
      <c r="N43" s="12"/>
      <c r="O43" s="185"/>
      <c r="P43" s="186"/>
      <c r="Q43" s="185"/>
    </row>
    <row r="44" spans="1:17">
      <c r="A44" s="114"/>
      <c r="B44" s="13"/>
      <c r="C44" s="12"/>
      <c r="D44" s="590" t="s">
        <v>611</v>
      </c>
      <c r="E44" s="591">
        <f t="shared" si="0"/>
        <v>25969565.780000005</v>
      </c>
      <c r="F44" s="592">
        <f t="shared" si="2"/>
        <v>1.7858501170079224E-2</v>
      </c>
      <c r="G44" s="593">
        <f t="shared" si="1"/>
        <v>428</v>
      </c>
      <c r="H44" s="594">
        <f t="shared" si="3"/>
        <v>6.2438910528542458E-3</v>
      </c>
      <c r="I44" s="111"/>
      <c r="K44" s="119"/>
      <c r="M44" s="184"/>
      <c r="N44" s="12"/>
      <c r="O44" s="185"/>
      <c r="P44" s="186"/>
      <c r="Q44" s="185"/>
    </row>
    <row r="45" spans="1:17" ht="12.75" customHeight="1">
      <c r="A45" s="114"/>
      <c r="B45" s="13"/>
      <c r="C45" s="12"/>
      <c r="D45" s="590" t="s">
        <v>612</v>
      </c>
      <c r="E45" s="591">
        <f t="shared" si="0"/>
        <v>20896495.070000011</v>
      </c>
      <c r="F45" s="592">
        <f t="shared" si="2"/>
        <v>1.4369900706832299E-2</v>
      </c>
      <c r="G45" s="593">
        <f t="shared" si="1"/>
        <v>332</v>
      </c>
      <c r="H45" s="594">
        <f t="shared" si="3"/>
        <v>4.8433921251112375E-3</v>
      </c>
      <c r="I45" s="111"/>
      <c r="K45" s="119"/>
      <c r="M45" s="184"/>
      <c r="N45" s="12"/>
      <c r="O45" s="185"/>
      <c r="P45" s="186"/>
      <c r="Q45" s="185"/>
    </row>
    <row r="46" spans="1:17">
      <c r="A46" s="114"/>
      <c r="B46" s="13"/>
      <c r="C46" s="12"/>
      <c r="D46" s="590" t="s">
        <v>613</v>
      </c>
      <c r="E46" s="591">
        <f t="shared" ref="E46:E64" si="4">VLOOKUP(CONCATENATE("OPB_",D46),Assets_Daten,3,0)</f>
        <v>18191544.519999996</v>
      </c>
      <c r="F46" s="592">
        <f t="shared" si="2"/>
        <v>1.2509786334054298E-2</v>
      </c>
      <c r="G46" s="593">
        <f t="shared" ref="G46:G64" si="5">VLOOKUP(CONCATENATE("OPB_",D46),Assets_Daten,2,0)</f>
        <v>280</v>
      </c>
      <c r="H46" s="594">
        <f t="shared" si="3"/>
        <v>4.084788539250441E-3</v>
      </c>
      <c r="I46" s="111"/>
      <c r="K46" s="119"/>
      <c r="M46" s="184"/>
      <c r="N46" s="12"/>
      <c r="O46" s="185"/>
      <c r="P46" s="186"/>
      <c r="Q46" s="185"/>
    </row>
    <row r="47" spans="1:17">
      <c r="A47" s="114"/>
      <c r="B47" s="13"/>
      <c r="C47" s="12"/>
      <c r="D47" s="590" t="s">
        <v>614</v>
      </c>
      <c r="E47" s="591">
        <f t="shared" si="4"/>
        <v>15416778.970000006</v>
      </c>
      <c r="F47" s="592">
        <f t="shared" si="2"/>
        <v>1.0601662253692015E-2</v>
      </c>
      <c r="G47" s="593">
        <f t="shared" si="5"/>
        <v>230</v>
      </c>
      <c r="H47" s="594">
        <f t="shared" si="3"/>
        <v>3.3553620143842913E-3</v>
      </c>
      <c r="I47" s="111"/>
      <c r="K47" s="119"/>
      <c r="M47" s="184"/>
      <c r="N47" s="12"/>
      <c r="O47" s="185"/>
      <c r="P47" s="186"/>
      <c r="Q47" s="185"/>
    </row>
    <row r="48" spans="1:17">
      <c r="A48" s="114"/>
      <c r="B48" s="13"/>
      <c r="C48" s="12"/>
      <c r="D48" s="590" t="s">
        <v>615</v>
      </c>
      <c r="E48" s="591">
        <f t="shared" si="4"/>
        <v>13658429.370000003</v>
      </c>
      <c r="F48" s="592">
        <f t="shared" si="2"/>
        <v>9.3924973159712748E-3</v>
      </c>
      <c r="G48" s="593">
        <f t="shared" si="5"/>
        <v>198</v>
      </c>
      <c r="H48" s="594">
        <f t="shared" si="3"/>
        <v>2.888529038469955E-3</v>
      </c>
      <c r="I48" s="111"/>
      <c r="K48" s="119"/>
      <c r="M48" s="184"/>
      <c r="N48" s="12"/>
      <c r="O48" s="185"/>
      <c r="P48" s="186"/>
      <c r="Q48" s="185"/>
    </row>
    <row r="49" spans="1:17">
      <c r="A49" s="114"/>
      <c r="B49" s="13"/>
      <c r="C49" s="12"/>
      <c r="D49" s="590" t="s">
        <v>616</v>
      </c>
      <c r="E49" s="591">
        <f t="shared" si="4"/>
        <v>18061469.310000002</v>
      </c>
      <c r="F49" s="592">
        <f t="shared" si="2"/>
        <v>1.242033746495645E-2</v>
      </c>
      <c r="G49" s="593">
        <f t="shared" si="5"/>
        <v>255</v>
      </c>
      <c r="H49" s="594">
        <f t="shared" si="3"/>
        <v>3.7200752768173661E-3</v>
      </c>
      <c r="I49" s="111"/>
      <c r="K49" s="119"/>
      <c r="M49" s="184"/>
      <c r="N49" s="12"/>
      <c r="O49" s="185"/>
      <c r="P49" s="186"/>
      <c r="Q49" s="185"/>
    </row>
    <row r="50" spans="1:17">
      <c r="A50" s="114"/>
      <c r="B50" s="13"/>
      <c r="C50" s="12"/>
      <c r="D50" s="590" t="s">
        <v>617</v>
      </c>
      <c r="E50" s="591">
        <f t="shared" si="4"/>
        <v>14884519.990000004</v>
      </c>
      <c r="F50" s="592">
        <f t="shared" si="2"/>
        <v>1.0235643518621921E-2</v>
      </c>
      <c r="G50" s="593">
        <f t="shared" si="5"/>
        <v>204</v>
      </c>
      <c r="H50" s="594">
        <f t="shared" si="3"/>
        <v>2.976060221453893E-3</v>
      </c>
      <c r="I50" s="111"/>
      <c r="K50" s="119"/>
      <c r="M50" s="184"/>
      <c r="N50" s="12"/>
      <c r="O50" s="185"/>
      <c r="P50" s="186"/>
      <c r="Q50" s="185"/>
    </row>
    <row r="51" spans="1:17">
      <c r="A51" s="114"/>
      <c r="B51" s="13"/>
      <c r="C51" s="12"/>
      <c r="D51" s="590" t="s">
        <v>618</v>
      </c>
      <c r="E51" s="591">
        <f t="shared" si="4"/>
        <v>25709944.609999985</v>
      </c>
      <c r="F51" s="592">
        <f t="shared" si="2"/>
        <v>1.7679967381432155E-2</v>
      </c>
      <c r="G51" s="593">
        <f t="shared" si="5"/>
        <v>343</v>
      </c>
      <c r="H51" s="594">
        <f t="shared" si="3"/>
        <v>5.0038659605817909E-3</v>
      </c>
      <c r="I51" s="111"/>
      <c r="K51" s="119"/>
      <c r="M51" s="184"/>
      <c r="N51" s="12"/>
      <c r="O51" s="185"/>
      <c r="P51" s="186"/>
      <c r="Q51" s="185"/>
    </row>
    <row r="52" spans="1:17">
      <c r="A52" s="114"/>
      <c r="B52" s="13"/>
      <c r="C52" s="12"/>
      <c r="D52" s="590" t="s">
        <v>619</v>
      </c>
      <c r="E52" s="591">
        <f t="shared" si="4"/>
        <v>10001795.049999995</v>
      </c>
      <c r="F52" s="592">
        <f t="shared" si="2"/>
        <v>6.8779382033748232E-3</v>
      </c>
      <c r="G52" s="593">
        <f t="shared" si="5"/>
        <v>130</v>
      </c>
      <c r="H52" s="594">
        <f t="shared" si="3"/>
        <v>1.8965089646519905E-3</v>
      </c>
      <c r="I52" s="111"/>
      <c r="K52" s="119"/>
      <c r="M52" s="184"/>
      <c r="N52" s="12"/>
      <c r="O52" s="185"/>
      <c r="P52" s="186"/>
      <c r="Q52" s="185"/>
    </row>
    <row r="53" spans="1:17">
      <c r="A53" s="114"/>
      <c r="B53" s="13"/>
      <c r="C53" s="12"/>
      <c r="D53" s="590" t="s">
        <v>620</v>
      </c>
      <c r="E53" s="591">
        <f t="shared" si="4"/>
        <v>20319349.529999979</v>
      </c>
      <c r="F53" s="592">
        <f t="shared" si="2"/>
        <v>1.3973014813987132E-2</v>
      </c>
      <c r="G53" s="593">
        <f t="shared" si="5"/>
        <v>258</v>
      </c>
      <c r="H53" s="594">
        <f t="shared" si="3"/>
        <v>3.7638408683093351E-3</v>
      </c>
      <c r="I53" s="111"/>
      <c r="K53" s="119"/>
      <c r="M53" s="184"/>
      <c r="N53" s="12"/>
      <c r="O53" s="185"/>
      <c r="P53" s="186"/>
      <c r="Q53" s="185"/>
    </row>
    <row r="54" spans="1:17">
      <c r="A54" s="114"/>
      <c r="B54" s="13"/>
      <c r="C54" s="12"/>
      <c r="D54" s="590" t="s">
        <v>621</v>
      </c>
      <c r="E54" s="591">
        <f t="shared" si="4"/>
        <v>12068514.910000004</v>
      </c>
      <c r="F54" s="592">
        <f t="shared" si="2"/>
        <v>8.2991602349907906E-3</v>
      </c>
      <c r="G54" s="593">
        <f t="shared" si="5"/>
        <v>149</v>
      </c>
      <c r="H54" s="594">
        <f t="shared" si="3"/>
        <v>2.1736910441011279E-3</v>
      </c>
      <c r="I54" s="111"/>
      <c r="K54" s="119"/>
      <c r="M54" s="184"/>
      <c r="N54" s="12"/>
      <c r="O54" s="185"/>
      <c r="P54" s="186"/>
      <c r="Q54" s="185"/>
    </row>
    <row r="55" spans="1:17">
      <c r="A55" s="114"/>
      <c r="B55" s="13"/>
      <c r="C55" s="12"/>
      <c r="D55" s="590" t="s">
        <v>622</v>
      </c>
      <c r="E55" s="591">
        <f t="shared" si="4"/>
        <v>11036999.75</v>
      </c>
      <c r="F55" s="592">
        <f t="shared" si="2"/>
        <v>7.5898178128698413E-3</v>
      </c>
      <c r="G55" s="593">
        <f t="shared" si="5"/>
        <v>133</v>
      </c>
      <c r="H55" s="594">
        <f t="shared" si="3"/>
        <v>1.9402745561439595E-3</v>
      </c>
      <c r="I55" s="111"/>
      <c r="K55" s="119"/>
      <c r="M55" s="184"/>
      <c r="N55" s="12"/>
      <c r="O55" s="185"/>
      <c r="P55" s="186"/>
      <c r="Q55" s="185"/>
    </row>
    <row r="56" spans="1:17">
      <c r="A56" s="114"/>
      <c r="B56" s="13"/>
      <c r="C56" s="12"/>
      <c r="D56" s="590" t="s">
        <v>623</v>
      </c>
      <c r="E56" s="591">
        <f t="shared" si="4"/>
        <v>7636491.9300000025</v>
      </c>
      <c r="F56" s="592">
        <f t="shared" si="2"/>
        <v>5.2513893078733479E-3</v>
      </c>
      <c r="G56" s="593">
        <f t="shared" si="5"/>
        <v>90</v>
      </c>
      <c r="H56" s="594">
        <f t="shared" si="3"/>
        <v>1.3129677447590703E-3</v>
      </c>
      <c r="I56" s="111"/>
      <c r="K56" s="119"/>
      <c r="M56" s="184"/>
      <c r="N56" s="12"/>
      <c r="O56" s="185"/>
      <c r="P56" s="186"/>
      <c r="Q56" s="185"/>
    </row>
    <row r="57" spans="1:17">
      <c r="A57" s="114"/>
      <c r="B57" s="13"/>
      <c r="C57" s="12"/>
      <c r="D57" s="590" t="s">
        <v>624</v>
      </c>
      <c r="E57" s="591">
        <f t="shared" si="4"/>
        <v>5207841.75</v>
      </c>
      <c r="F57" s="592">
        <f t="shared" si="2"/>
        <v>3.5812785155456082E-3</v>
      </c>
      <c r="G57" s="593">
        <f t="shared" si="5"/>
        <v>60</v>
      </c>
      <c r="H57" s="594">
        <f t="shared" si="3"/>
        <v>8.753118298393803E-4</v>
      </c>
      <c r="I57" s="111"/>
      <c r="K57" s="119"/>
      <c r="M57" s="184"/>
      <c r="N57" s="12"/>
      <c r="O57" s="185"/>
      <c r="P57" s="186"/>
      <c r="Q57" s="185"/>
    </row>
    <row r="58" spans="1:17">
      <c r="A58" s="114"/>
      <c r="B58" s="13"/>
      <c r="C58" s="12"/>
      <c r="D58" s="590" t="s">
        <v>625</v>
      </c>
      <c r="E58" s="591">
        <f t="shared" si="4"/>
        <v>3461395.0199999986</v>
      </c>
      <c r="F58" s="592">
        <f t="shared" si="2"/>
        <v>2.3802988289616431E-3</v>
      </c>
      <c r="G58" s="593">
        <f t="shared" si="5"/>
        <v>39</v>
      </c>
      <c r="H58" s="594">
        <f t="shared" si="3"/>
        <v>5.6895268939559721E-4</v>
      </c>
      <c r="I58" s="111"/>
      <c r="K58" s="119"/>
      <c r="M58" s="184"/>
      <c r="N58" s="12"/>
      <c r="O58" s="185"/>
      <c r="P58" s="186"/>
      <c r="Q58" s="185"/>
    </row>
    <row r="59" spans="1:17">
      <c r="A59" s="114"/>
      <c r="B59" s="13"/>
      <c r="C59" s="12"/>
      <c r="D59" s="590" t="s">
        <v>626</v>
      </c>
      <c r="E59" s="591">
        <f t="shared" si="4"/>
        <v>1725772.0299999998</v>
      </c>
      <c r="F59" s="592">
        <f t="shared" si="2"/>
        <v>1.186762307777215E-3</v>
      </c>
      <c r="G59" s="593">
        <f t="shared" si="5"/>
        <v>19</v>
      </c>
      <c r="H59" s="594">
        <f t="shared" si="3"/>
        <v>2.7718207944913711E-4</v>
      </c>
      <c r="I59" s="111"/>
      <c r="K59" s="119"/>
      <c r="M59" s="184"/>
      <c r="N59" s="12"/>
      <c r="O59" s="185"/>
      <c r="P59" s="186"/>
      <c r="Q59" s="185"/>
    </row>
    <row r="60" spans="1:17">
      <c r="A60" s="114"/>
      <c r="B60" s="13"/>
      <c r="C60" s="12"/>
      <c r="D60" s="590" t="s">
        <v>627</v>
      </c>
      <c r="E60" s="591">
        <f t="shared" si="4"/>
        <v>1300680.1299999999</v>
      </c>
      <c r="F60" s="592">
        <f t="shared" si="2"/>
        <v>8.9443919934127571E-4</v>
      </c>
      <c r="G60" s="593">
        <f t="shared" si="5"/>
        <v>14</v>
      </c>
      <c r="H60" s="594">
        <f t="shared" si="3"/>
        <v>2.0423942696252205E-4</v>
      </c>
      <c r="I60" s="111"/>
      <c r="K60" s="119"/>
      <c r="M60" s="184"/>
      <c r="N60" s="12"/>
      <c r="O60" s="185"/>
      <c r="P60" s="186"/>
      <c r="Q60" s="185"/>
    </row>
    <row r="61" spans="1:17">
      <c r="A61" s="114"/>
      <c r="B61" s="13"/>
      <c r="C61" s="12"/>
      <c r="D61" s="590" t="s">
        <v>628</v>
      </c>
      <c r="E61" s="591">
        <f t="shared" si="4"/>
        <v>666244.34000000008</v>
      </c>
      <c r="F61" s="592">
        <f t="shared" si="2"/>
        <v>4.5815649850456069E-4</v>
      </c>
      <c r="G61" s="593">
        <f t="shared" si="5"/>
        <v>7</v>
      </c>
      <c r="H61" s="594">
        <f t="shared" si="3"/>
        <v>1.0211971348126103E-4</v>
      </c>
      <c r="I61" s="111"/>
      <c r="K61" s="119"/>
      <c r="M61" s="184"/>
      <c r="N61" s="12"/>
      <c r="O61" s="185"/>
      <c r="P61" s="186"/>
      <c r="Q61" s="185"/>
    </row>
    <row r="62" spans="1:17">
      <c r="A62" s="114"/>
      <c r="B62" s="13"/>
      <c r="C62" s="12"/>
      <c r="D62" s="590" t="s">
        <v>629</v>
      </c>
      <c r="E62" s="591">
        <f t="shared" si="4"/>
        <v>96219.520000000004</v>
      </c>
      <c r="F62" s="592">
        <f t="shared" si="2"/>
        <v>6.6167313888159326E-5</v>
      </c>
      <c r="G62" s="593">
        <f t="shared" si="5"/>
        <v>1</v>
      </c>
      <c r="H62" s="594">
        <f t="shared" si="3"/>
        <v>1.4588530497323004E-5</v>
      </c>
      <c r="I62" s="111"/>
      <c r="K62" s="119"/>
      <c r="M62" s="184"/>
      <c r="N62" s="12"/>
      <c r="O62" s="185"/>
      <c r="P62" s="186"/>
      <c r="Q62" s="185"/>
    </row>
    <row r="63" spans="1:17">
      <c r="A63" s="114"/>
      <c r="B63" s="13"/>
      <c r="C63" s="12"/>
      <c r="D63" s="590" t="s">
        <v>630</v>
      </c>
      <c r="E63" s="591">
        <f t="shared" si="4"/>
        <v>396412.5</v>
      </c>
      <c r="F63" s="592">
        <f t="shared" si="2"/>
        <v>2.7260113453787712E-4</v>
      </c>
      <c r="G63" s="593">
        <f t="shared" si="5"/>
        <v>4</v>
      </c>
      <c r="H63" s="594">
        <f t="shared" si="3"/>
        <v>5.8354121989292017E-5</v>
      </c>
      <c r="I63" s="111"/>
      <c r="K63" s="119"/>
      <c r="M63" s="184"/>
      <c r="N63" s="12"/>
      <c r="O63" s="185"/>
      <c r="P63" s="186"/>
      <c r="Q63" s="185"/>
    </row>
    <row r="64" spans="1:17" ht="13" thickBot="1">
      <c r="A64" s="114"/>
      <c r="B64" s="13"/>
      <c r="C64" s="12"/>
      <c r="D64" s="590" t="s">
        <v>711</v>
      </c>
      <c r="E64" s="591">
        <f t="shared" si="4"/>
        <v>1995557.12</v>
      </c>
      <c r="F64" s="592">
        <f t="shared" si="2"/>
        <v>1.3722855231536307E-3</v>
      </c>
      <c r="G64" s="593">
        <f t="shared" si="5"/>
        <v>18</v>
      </c>
      <c r="H64" s="594">
        <f t="shared" si="3"/>
        <v>2.6259354895181406E-4</v>
      </c>
      <c r="I64" s="111"/>
      <c r="K64" s="119"/>
      <c r="M64" s="184"/>
      <c r="N64" s="12"/>
      <c r="O64" s="185"/>
      <c r="P64" s="186"/>
      <c r="Q64" s="185"/>
    </row>
    <row r="65" spans="1:17" ht="14" thickTop="1" thickBot="1">
      <c r="A65" s="114"/>
      <c r="B65" s="191"/>
      <c r="C65" s="220"/>
      <c r="D65" s="596" t="s">
        <v>36</v>
      </c>
      <c r="E65" s="597">
        <f>SUM(E14:E64)</f>
        <v>1454185070.3299978</v>
      </c>
      <c r="F65" s="598">
        <f>SUM(F14:F64)</f>
        <v>1.0000000000000002</v>
      </c>
      <c r="G65" s="599">
        <f>SUM(G14:G64)</f>
        <v>68547</v>
      </c>
      <c r="H65" s="600">
        <f>SUM(H14:H64)</f>
        <v>1</v>
      </c>
      <c r="I65" s="111"/>
      <c r="K65" s="119"/>
      <c r="M65" s="601"/>
      <c r="N65" s="602"/>
      <c r="O65" s="603"/>
      <c r="P65" s="604"/>
      <c r="Q65" s="603"/>
    </row>
    <row r="66" spans="1:17" ht="13">
      <c r="A66" s="114"/>
      <c r="B66" s="191"/>
      <c r="C66" s="220"/>
      <c r="D66" s="601"/>
      <c r="E66" s="602"/>
      <c r="F66" s="603"/>
      <c r="G66" s="604"/>
      <c r="H66" s="603"/>
      <c r="I66" s="111"/>
      <c r="K66" s="119"/>
      <c r="M66" s="601"/>
      <c r="N66" s="602"/>
      <c r="O66" s="603"/>
      <c r="P66" s="604"/>
      <c r="Q66" s="603"/>
    </row>
    <row r="67" spans="1:17" ht="13">
      <c r="A67" s="114"/>
      <c r="B67" s="191"/>
      <c r="C67" s="220"/>
      <c r="D67" s="601"/>
      <c r="E67" s="602"/>
      <c r="F67" s="603"/>
      <c r="G67" s="604"/>
      <c r="H67" s="603"/>
      <c r="I67" s="111"/>
      <c r="K67" s="119"/>
      <c r="M67" s="601"/>
      <c r="N67" s="602"/>
      <c r="O67" s="603"/>
      <c r="P67" s="604"/>
      <c r="Q67" s="603"/>
    </row>
    <row r="68" spans="1:17" ht="13.5" thickBot="1">
      <c r="A68" s="114"/>
      <c r="B68" s="197"/>
      <c r="C68" s="220"/>
      <c r="D68" s="144" t="s">
        <v>70</v>
      </c>
      <c r="E68" s="144" t="s">
        <v>60</v>
      </c>
      <c r="I68" s="111"/>
      <c r="K68" s="119"/>
      <c r="M68" s="144"/>
      <c r="N68" s="144"/>
    </row>
    <row r="69" spans="1:17" ht="13" thickBot="1">
      <c r="A69" s="114"/>
      <c r="B69" s="197"/>
      <c r="C69" s="220"/>
      <c r="D69" s="453" t="s">
        <v>61</v>
      </c>
      <c r="E69" s="775">
        <f>E65/G65</f>
        <v>21214.423247260969</v>
      </c>
      <c r="I69" s="111"/>
      <c r="K69" s="119"/>
      <c r="M69" s="191"/>
      <c r="N69" s="220"/>
    </row>
    <row r="70" spans="1:17">
      <c r="A70" s="114"/>
      <c r="I70" s="111"/>
      <c r="K70" s="119"/>
    </row>
    <row r="71" spans="1:17">
      <c r="A71" s="150"/>
      <c r="B71" s="51"/>
      <c r="C71" s="51"/>
      <c r="D71" s="51"/>
      <c r="E71" s="51"/>
      <c r="F71" s="51"/>
      <c r="G71" s="51"/>
      <c r="H71" s="51"/>
      <c r="I71" s="349"/>
      <c r="J71" s="51"/>
      <c r="K71" s="152"/>
    </row>
    <row r="72" spans="1:17">
      <c r="I72" s="111"/>
    </row>
    <row r="73" spans="1:17">
      <c r="I73" s="111"/>
    </row>
    <row r="74" spans="1:17">
      <c r="I74" s="111"/>
    </row>
    <row r="75" spans="1:17">
      <c r="I75" s="111"/>
    </row>
    <row r="76" spans="1:17">
      <c r="I76" s="111"/>
    </row>
    <row r="77" spans="1:17">
      <c r="I77" s="111"/>
    </row>
    <row r="78" spans="1:17">
      <c r="I78" s="111"/>
    </row>
    <row r="79" spans="1:17">
      <c r="I79" s="111"/>
    </row>
    <row r="80" spans="1:17">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45911</v>
      </c>
      <c r="G2" s="116"/>
      <c r="H2" s="116"/>
      <c r="I2" s="116"/>
      <c r="J2" s="118"/>
      <c r="K2" s="321"/>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16</v>
      </c>
      <c r="G4" s="122"/>
      <c r="H4" s="127"/>
      <c r="I4" s="122"/>
      <c r="J4" s="128"/>
      <c r="K4" s="321"/>
    </row>
    <row r="5" spans="1:13" ht="18">
      <c r="A5" s="114"/>
      <c r="B5" s="129" t="s">
        <v>165</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1796875" style="18" customWidth="1"/>
    <col min="4" max="8" width="18.81640625" style="18" customWidth="1"/>
    <col min="9" max="9" width="9.1796875" style="18" customWidth="1"/>
    <col min="10" max="10" width="15.453125" style="18" customWidth="1"/>
    <col min="11" max="11" width="1.1796875" style="18" customWidth="1"/>
    <col min="12" max="12" width="3.1796875" style="18" customWidth="1"/>
    <col min="13" max="17" width="18.81640625"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142</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44" thickBot="1">
      <c r="A13" s="114"/>
      <c r="B13" s="438"/>
      <c r="D13" s="425" t="s">
        <v>71</v>
      </c>
      <c r="E13" s="426" t="s">
        <v>72</v>
      </c>
      <c r="F13" s="426" t="s">
        <v>114</v>
      </c>
      <c r="G13" s="589" t="s">
        <v>62</v>
      </c>
      <c r="H13" s="573" t="s">
        <v>115</v>
      </c>
      <c r="I13" s="111"/>
      <c r="K13" s="119"/>
      <c r="M13" s="579"/>
      <c r="N13" s="202"/>
      <c r="O13" s="202"/>
      <c r="P13" s="439"/>
      <c r="Q13" s="439"/>
    </row>
    <row r="14" spans="1:17">
      <c r="A14" s="114"/>
      <c r="B14" s="13"/>
      <c r="C14" s="12"/>
      <c r="D14" s="590" t="s">
        <v>538</v>
      </c>
      <c r="E14" s="591">
        <f t="shared" ref="E14:E54" si="0">VLOOKUP(CONCATENATE("CPB_",D14),Assets_Daten,3,0)</f>
        <v>6392218.6100000311</v>
      </c>
      <c r="F14" s="592">
        <f>E14/$E$55</f>
        <v>5.6481148684664126E-3</v>
      </c>
      <c r="G14" s="593">
        <f t="shared" ref="G14:G54" si="1">VLOOKUP(CONCATENATE("CPB_",D14),Assets_Daten,2,0)</f>
        <v>6314</v>
      </c>
      <c r="H14" s="594">
        <f>G14/$G$55</f>
        <v>9.211198156009745E-2</v>
      </c>
      <c r="I14" s="111"/>
      <c r="K14" s="119"/>
      <c r="M14" s="184"/>
      <c r="N14" s="12"/>
      <c r="O14" s="185"/>
      <c r="P14" s="186"/>
      <c r="Q14" s="185"/>
    </row>
    <row r="15" spans="1:17">
      <c r="A15" s="114"/>
      <c r="B15" s="13"/>
      <c r="C15" s="12"/>
      <c r="D15" s="590" t="s">
        <v>539</v>
      </c>
      <c r="E15" s="591">
        <f t="shared" si="0"/>
        <v>20554455.050000094</v>
      </c>
      <c r="F15" s="592">
        <f t="shared" ref="F15:F54" si="2">E15/$E$55</f>
        <v>1.8161757327809773E-2</v>
      </c>
      <c r="G15" s="593">
        <f t="shared" si="1"/>
        <v>6814</v>
      </c>
      <c r="H15" s="594">
        <f t="shared" ref="H15:H54" si="3">G15/$G$55</f>
        <v>9.9406246808758952E-2</v>
      </c>
      <c r="I15" s="111"/>
      <c r="K15" s="119"/>
      <c r="M15" s="184"/>
      <c r="N15" s="12"/>
      <c r="O15" s="185"/>
      <c r="P15" s="186"/>
      <c r="Q15" s="185"/>
    </row>
    <row r="16" spans="1:17">
      <c r="A16" s="114"/>
      <c r="B16" s="13"/>
      <c r="C16" s="12"/>
      <c r="D16" s="590" t="s">
        <v>540</v>
      </c>
      <c r="E16" s="591">
        <f t="shared" si="0"/>
        <v>32497788.519999936</v>
      </c>
      <c r="F16" s="592">
        <f t="shared" si="2"/>
        <v>2.871479430395886E-2</v>
      </c>
      <c r="G16" s="593">
        <f t="shared" si="1"/>
        <v>6546</v>
      </c>
      <c r="H16" s="594">
        <f t="shared" si="3"/>
        <v>9.5496520635476395E-2</v>
      </c>
      <c r="I16" s="111"/>
      <c r="K16" s="119"/>
      <c r="M16" s="184"/>
      <c r="N16" s="12"/>
      <c r="O16" s="185"/>
      <c r="P16" s="186"/>
      <c r="Q16" s="185"/>
    </row>
    <row r="17" spans="1:17">
      <c r="A17" s="114"/>
      <c r="B17" s="13"/>
      <c r="C17" s="12"/>
      <c r="D17" s="590" t="s">
        <v>541</v>
      </c>
      <c r="E17" s="591">
        <f t="shared" si="0"/>
        <v>42155390.219999991</v>
      </c>
      <c r="F17" s="592">
        <f t="shared" si="2"/>
        <v>3.7248176386693442E-2</v>
      </c>
      <c r="G17" s="593">
        <f t="shared" si="1"/>
        <v>6035</v>
      </c>
      <c r="H17" s="594">
        <f t="shared" si="3"/>
        <v>8.8041781551344331E-2</v>
      </c>
      <c r="I17" s="111"/>
      <c r="K17" s="119"/>
      <c r="M17" s="184"/>
      <c r="N17" s="12"/>
      <c r="O17" s="185"/>
      <c r="P17" s="186"/>
      <c r="Q17" s="185"/>
    </row>
    <row r="18" spans="1:17">
      <c r="A18" s="114"/>
      <c r="B18" s="13"/>
      <c r="C18" s="12"/>
      <c r="D18" s="590" t="s">
        <v>542</v>
      </c>
      <c r="E18" s="591">
        <f t="shared" si="0"/>
        <v>45725301.04999999</v>
      </c>
      <c r="F18" s="592">
        <f t="shared" si="2"/>
        <v>4.0402521954049149E-2</v>
      </c>
      <c r="G18" s="593">
        <f t="shared" si="1"/>
        <v>5127</v>
      </c>
      <c r="H18" s="594">
        <f t="shared" si="3"/>
        <v>7.4795395859775043E-2</v>
      </c>
      <c r="I18" s="111"/>
      <c r="K18" s="119"/>
      <c r="M18" s="184"/>
      <c r="N18" s="12"/>
      <c r="O18" s="185"/>
      <c r="P18" s="186"/>
      <c r="Q18" s="185"/>
    </row>
    <row r="19" spans="1:17">
      <c r="A19" s="114"/>
      <c r="B19" s="13"/>
      <c r="C19" s="12"/>
      <c r="D19" s="590" t="s">
        <v>543</v>
      </c>
      <c r="E19" s="591">
        <f t="shared" si="0"/>
        <v>43262990.679999918</v>
      </c>
      <c r="F19" s="592">
        <f t="shared" si="2"/>
        <v>3.8226843576933012E-2</v>
      </c>
      <c r="G19" s="593">
        <f t="shared" si="1"/>
        <v>3932</v>
      </c>
      <c r="H19" s="594">
        <f t="shared" si="3"/>
        <v>5.7362101915474056E-2</v>
      </c>
      <c r="I19" s="111"/>
      <c r="K19" s="119"/>
      <c r="M19" s="184"/>
      <c r="N19" s="12"/>
      <c r="O19" s="185"/>
      <c r="P19" s="186"/>
      <c r="Q19" s="185"/>
    </row>
    <row r="20" spans="1:17">
      <c r="A20" s="114"/>
      <c r="B20" s="13"/>
      <c r="C20" s="12"/>
      <c r="D20" s="590" t="s">
        <v>544</v>
      </c>
      <c r="E20" s="591">
        <f t="shared" si="0"/>
        <v>47664110.579999894</v>
      </c>
      <c r="F20" s="592">
        <f t="shared" si="2"/>
        <v>4.211563904243934E-2</v>
      </c>
      <c r="G20" s="593">
        <f t="shared" si="1"/>
        <v>3678</v>
      </c>
      <c r="H20" s="594">
        <f t="shared" si="3"/>
        <v>5.3656615169154008E-2</v>
      </c>
      <c r="I20" s="111"/>
      <c r="K20" s="119"/>
      <c r="M20" s="184"/>
      <c r="N20" s="12"/>
      <c r="O20" s="185"/>
      <c r="P20" s="186"/>
      <c r="Q20" s="185"/>
    </row>
    <row r="21" spans="1:17">
      <c r="A21" s="114"/>
      <c r="B21" s="13"/>
      <c r="C21" s="12"/>
      <c r="D21" s="107" t="s">
        <v>545</v>
      </c>
      <c r="E21" s="591">
        <f t="shared" si="0"/>
        <v>46950986.40999987</v>
      </c>
      <c r="F21" s="592">
        <f t="shared" si="2"/>
        <v>4.1485528047590259E-2</v>
      </c>
      <c r="G21" s="593">
        <f t="shared" si="1"/>
        <v>3128</v>
      </c>
      <c r="H21" s="594">
        <f t="shared" si="3"/>
        <v>4.5632923395626357E-2</v>
      </c>
      <c r="I21" s="111"/>
      <c r="K21" s="119"/>
      <c r="M21" s="184"/>
      <c r="N21" s="12"/>
      <c r="O21" s="185"/>
      <c r="P21" s="186"/>
      <c r="Q21" s="185"/>
    </row>
    <row r="22" spans="1:17">
      <c r="A22" s="114"/>
      <c r="B22" s="13"/>
      <c r="C22" s="12"/>
      <c r="D22" s="590" t="s">
        <v>546</v>
      </c>
      <c r="E22" s="591">
        <f t="shared" si="0"/>
        <v>53547170.680000097</v>
      </c>
      <c r="F22" s="592">
        <f t="shared" si="2"/>
        <v>4.7313865393914585E-2</v>
      </c>
      <c r="G22" s="593">
        <f t="shared" si="1"/>
        <v>3154</v>
      </c>
      <c r="H22" s="594">
        <f t="shared" si="3"/>
        <v>4.6012225188556757E-2</v>
      </c>
      <c r="I22" s="111"/>
      <c r="K22" s="119"/>
      <c r="M22" s="184"/>
      <c r="N22" s="12"/>
      <c r="O22" s="185"/>
      <c r="P22" s="186"/>
      <c r="Q22" s="185"/>
    </row>
    <row r="23" spans="1:17">
      <c r="A23" s="114"/>
      <c r="B23" s="13"/>
      <c r="C23" s="12"/>
      <c r="D23" s="590" t="s">
        <v>547</v>
      </c>
      <c r="E23" s="591">
        <f t="shared" si="0"/>
        <v>49229387.389999978</v>
      </c>
      <c r="F23" s="592">
        <f t="shared" si="2"/>
        <v>4.3498705511723794E-2</v>
      </c>
      <c r="G23" s="593">
        <f t="shared" si="1"/>
        <v>2592</v>
      </c>
      <c r="H23" s="594">
        <f t="shared" si="3"/>
        <v>3.7813471049061229E-2</v>
      </c>
      <c r="I23" s="111"/>
      <c r="K23" s="119"/>
      <c r="M23" s="184"/>
      <c r="N23" s="12"/>
      <c r="O23" s="185"/>
      <c r="P23" s="186"/>
      <c r="Q23" s="185"/>
    </row>
    <row r="24" spans="1:17">
      <c r="A24" s="114"/>
      <c r="B24" s="13"/>
      <c r="C24" s="12"/>
      <c r="D24" s="590" t="s">
        <v>548</v>
      </c>
      <c r="E24" s="591">
        <f t="shared" si="0"/>
        <v>50709313.100000091</v>
      </c>
      <c r="F24" s="592">
        <f t="shared" si="2"/>
        <v>4.4806356409926931E-2</v>
      </c>
      <c r="G24" s="593">
        <f t="shared" si="1"/>
        <v>2412</v>
      </c>
      <c r="H24" s="594">
        <f t="shared" si="3"/>
        <v>3.5187535559543084E-2</v>
      </c>
      <c r="I24" s="111"/>
      <c r="K24" s="119"/>
      <c r="M24" s="184"/>
      <c r="N24" s="12"/>
      <c r="O24" s="185"/>
      <c r="P24" s="186"/>
      <c r="Q24" s="185"/>
    </row>
    <row r="25" spans="1:17">
      <c r="A25" s="114"/>
      <c r="B25" s="13"/>
      <c r="C25" s="12"/>
      <c r="D25" s="590" t="s">
        <v>549</v>
      </c>
      <c r="E25" s="591">
        <f t="shared" si="0"/>
        <v>47775077.809999995</v>
      </c>
      <c r="F25" s="592">
        <f t="shared" si="2"/>
        <v>4.2213688827641552E-2</v>
      </c>
      <c r="G25" s="593">
        <f t="shared" si="1"/>
        <v>2080</v>
      </c>
      <c r="H25" s="594">
        <f t="shared" si="3"/>
        <v>3.0344143434431849E-2</v>
      </c>
      <c r="I25" s="111"/>
      <c r="K25" s="119"/>
      <c r="M25" s="184"/>
      <c r="N25" s="12"/>
      <c r="O25" s="185"/>
      <c r="P25" s="186"/>
      <c r="Q25" s="185"/>
    </row>
    <row r="26" spans="1:17">
      <c r="A26" s="114"/>
      <c r="B26" s="13"/>
      <c r="C26" s="12"/>
      <c r="D26" s="590" t="s">
        <v>550</v>
      </c>
      <c r="E26" s="591">
        <f t="shared" si="0"/>
        <v>46733913.600000039</v>
      </c>
      <c r="F26" s="592">
        <f t="shared" si="2"/>
        <v>4.1293724193482116E-2</v>
      </c>
      <c r="G26" s="593">
        <f t="shared" si="1"/>
        <v>1869</v>
      </c>
      <c r="H26" s="594">
        <f t="shared" si="3"/>
        <v>2.7265963499496695E-2</v>
      </c>
      <c r="I26" s="111"/>
      <c r="K26" s="119"/>
      <c r="M26" s="184"/>
      <c r="N26" s="12"/>
      <c r="O26" s="185"/>
      <c r="P26" s="186"/>
      <c r="Q26" s="185"/>
    </row>
    <row r="27" spans="1:17">
      <c r="A27" s="114"/>
      <c r="B27" s="13"/>
      <c r="C27" s="12"/>
      <c r="D27" s="590" t="s">
        <v>551</v>
      </c>
      <c r="E27" s="591">
        <f t="shared" si="0"/>
        <v>46913965.959999911</v>
      </c>
      <c r="F27" s="592">
        <f t="shared" si="2"/>
        <v>4.1452817064621846E-2</v>
      </c>
      <c r="G27" s="593">
        <f t="shared" si="1"/>
        <v>1738</v>
      </c>
      <c r="H27" s="594">
        <f t="shared" si="3"/>
        <v>2.5354866004347384E-2</v>
      </c>
      <c r="I27" s="111"/>
      <c r="K27" s="119"/>
      <c r="M27" s="184"/>
      <c r="N27" s="12"/>
      <c r="O27" s="185"/>
      <c r="P27" s="186"/>
      <c r="Q27" s="185"/>
    </row>
    <row r="28" spans="1:17">
      <c r="A28" s="114"/>
      <c r="B28" s="13"/>
      <c r="C28" s="12"/>
      <c r="D28" s="590" t="s">
        <v>552</v>
      </c>
      <c r="E28" s="591">
        <f t="shared" si="0"/>
        <v>42749315.900000066</v>
      </c>
      <c r="F28" s="592">
        <f t="shared" si="2"/>
        <v>3.7772964518739571E-2</v>
      </c>
      <c r="G28" s="593">
        <f t="shared" si="1"/>
        <v>1475</v>
      </c>
      <c r="H28" s="594">
        <f t="shared" si="3"/>
        <v>2.1518082483551432E-2</v>
      </c>
      <c r="I28" s="111"/>
      <c r="K28" s="119"/>
      <c r="M28" s="184"/>
      <c r="N28" s="12"/>
      <c r="O28" s="185"/>
      <c r="P28" s="186"/>
      <c r="Q28" s="185"/>
    </row>
    <row r="29" spans="1:17">
      <c r="A29" s="114"/>
      <c r="B29" s="13"/>
      <c r="C29" s="12"/>
      <c r="D29" s="590" t="s">
        <v>553</v>
      </c>
      <c r="E29" s="591">
        <f t="shared" si="0"/>
        <v>43081489.850000016</v>
      </c>
      <c r="F29" s="592">
        <f t="shared" si="2"/>
        <v>3.8066470848916845E-2</v>
      </c>
      <c r="G29" s="593">
        <f t="shared" si="1"/>
        <v>1391</v>
      </c>
      <c r="H29" s="594">
        <f t="shared" si="3"/>
        <v>2.0292645921776299E-2</v>
      </c>
      <c r="I29" s="111"/>
      <c r="K29" s="119"/>
      <c r="M29" s="184"/>
      <c r="N29" s="12"/>
      <c r="O29" s="185"/>
      <c r="P29" s="186"/>
      <c r="Q29" s="185"/>
    </row>
    <row r="30" spans="1:17">
      <c r="A30" s="114"/>
      <c r="B30" s="13"/>
      <c r="C30" s="12"/>
      <c r="D30" s="590" t="s">
        <v>554</v>
      </c>
      <c r="E30" s="591">
        <f t="shared" si="0"/>
        <v>40259579.669999957</v>
      </c>
      <c r="F30" s="592">
        <f t="shared" si="2"/>
        <v>3.5573052864087476E-2</v>
      </c>
      <c r="G30" s="593">
        <f t="shared" si="1"/>
        <v>1221</v>
      </c>
      <c r="H30" s="594">
        <f t="shared" si="3"/>
        <v>1.7812595737231388E-2</v>
      </c>
      <c r="I30" s="111"/>
      <c r="K30" s="119"/>
      <c r="M30" s="184"/>
      <c r="N30" s="12"/>
      <c r="O30" s="185"/>
      <c r="P30" s="186"/>
      <c r="Q30" s="185"/>
    </row>
    <row r="31" spans="1:17">
      <c r="A31" s="114"/>
      <c r="B31" s="13"/>
      <c r="C31" s="12"/>
      <c r="D31" s="590" t="s">
        <v>555</v>
      </c>
      <c r="E31" s="591">
        <f t="shared" si="0"/>
        <v>40270140.340000011</v>
      </c>
      <c r="F31" s="592">
        <f t="shared" si="2"/>
        <v>3.5582384190327623E-2</v>
      </c>
      <c r="G31" s="593">
        <f t="shared" si="1"/>
        <v>1151</v>
      </c>
      <c r="H31" s="594">
        <f t="shared" si="3"/>
        <v>1.6791398602418777E-2</v>
      </c>
      <c r="I31" s="111"/>
      <c r="K31" s="119"/>
      <c r="M31" s="184"/>
      <c r="N31" s="12"/>
      <c r="O31" s="185"/>
      <c r="P31" s="186"/>
      <c r="Q31" s="185"/>
    </row>
    <row r="32" spans="1:17">
      <c r="A32" s="114"/>
      <c r="B32" s="13"/>
      <c r="C32" s="12"/>
      <c r="D32" s="590" t="s">
        <v>556</v>
      </c>
      <c r="E32" s="591">
        <f t="shared" si="0"/>
        <v>34165282.889999978</v>
      </c>
      <c r="F32" s="592">
        <f t="shared" si="2"/>
        <v>3.0188179417782623E-2</v>
      </c>
      <c r="G32" s="593">
        <f t="shared" si="1"/>
        <v>924</v>
      </c>
      <c r="H32" s="594">
        <f t="shared" si="3"/>
        <v>1.3479802179526457E-2</v>
      </c>
      <c r="I32" s="111"/>
      <c r="K32" s="119"/>
      <c r="M32" s="184"/>
      <c r="N32" s="12"/>
      <c r="O32" s="185"/>
      <c r="P32" s="186"/>
      <c r="Q32" s="185"/>
    </row>
    <row r="33" spans="1:17">
      <c r="A33" s="114"/>
      <c r="B33" s="13"/>
      <c r="C33" s="12"/>
      <c r="D33" s="590" t="s">
        <v>557</v>
      </c>
      <c r="E33" s="591">
        <f t="shared" si="0"/>
        <v>34143412.349999979</v>
      </c>
      <c r="F33" s="592">
        <f t="shared" si="2"/>
        <v>3.016885477798352E-2</v>
      </c>
      <c r="G33" s="593">
        <f t="shared" si="1"/>
        <v>876</v>
      </c>
      <c r="H33" s="594">
        <f t="shared" si="3"/>
        <v>1.2779552715654952E-2</v>
      </c>
      <c r="I33" s="111"/>
      <c r="K33" s="119"/>
      <c r="M33" s="184"/>
      <c r="N33" s="12"/>
      <c r="O33" s="185"/>
      <c r="P33" s="186"/>
      <c r="Q33" s="185"/>
    </row>
    <row r="34" spans="1:17">
      <c r="A34" s="114"/>
      <c r="B34" s="13"/>
      <c r="C34" s="12"/>
      <c r="D34" s="590" t="s">
        <v>558</v>
      </c>
      <c r="E34" s="591">
        <f t="shared" si="0"/>
        <v>34693737.119999997</v>
      </c>
      <c r="F34" s="592">
        <f t="shared" si="2"/>
        <v>3.0655117483558047E-2</v>
      </c>
      <c r="G34" s="593">
        <f t="shared" si="1"/>
        <v>847</v>
      </c>
      <c r="H34" s="594">
        <f t="shared" si="3"/>
        <v>1.2356485331232585E-2</v>
      </c>
      <c r="I34" s="111"/>
      <c r="K34" s="119"/>
      <c r="M34" s="184"/>
      <c r="N34" s="12"/>
      <c r="O34" s="185"/>
      <c r="P34" s="186"/>
      <c r="Q34" s="185"/>
    </row>
    <row r="35" spans="1:17">
      <c r="A35" s="114"/>
      <c r="B35" s="13"/>
      <c r="C35" s="12"/>
      <c r="D35" s="590" t="s">
        <v>559</v>
      </c>
      <c r="E35" s="591">
        <f t="shared" si="0"/>
        <v>30228027.849999975</v>
      </c>
      <c r="F35" s="592">
        <f t="shared" si="2"/>
        <v>2.6709251350839021E-2</v>
      </c>
      <c r="G35" s="593">
        <f t="shared" si="1"/>
        <v>703</v>
      </c>
      <c r="H35" s="594">
        <f t="shared" si="3"/>
        <v>1.0255736939618072E-2</v>
      </c>
      <c r="I35" s="111"/>
      <c r="K35" s="119"/>
      <c r="M35" s="184"/>
      <c r="N35" s="12"/>
      <c r="O35" s="185"/>
      <c r="P35" s="186"/>
      <c r="Q35" s="185"/>
    </row>
    <row r="36" spans="1:17">
      <c r="A36" s="114"/>
      <c r="B36" s="13"/>
      <c r="C36" s="12"/>
      <c r="D36" s="590" t="s">
        <v>560</v>
      </c>
      <c r="E36" s="591">
        <f t="shared" si="0"/>
        <v>29181387.570000004</v>
      </c>
      <c r="F36" s="592">
        <f t="shared" si="2"/>
        <v>2.5784448103629103E-2</v>
      </c>
      <c r="G36" s="593">
        <f t="shared" si="1"/>
        <v>649</v>
      </c>
      <c r="H36" s="594">
        <f t="shared" si="3"/>
        <v>9.4679562927626297E-3</v>
      </c>
      <c r="I36" s="111"/>
      <c r="K36" s="119"/>
      <c r="M36" s="184"/>
      <c r="N36" s="12"/>
      <c r="O36" s="185"/>
      <c r="P36" s="186"/>
      <c r="Q36" s="185"/>
    </row>
    <row r="37" spans="1:17">
      <c r="A37" s="114"/>
      <c r="B37" s="13"/>
      <c r="C37" s="12"/>
      <c r="D37" s="590" t="s">
        <v>561</v>
      </c>
      <c r="E37" s="591">
        <f t="shared" si="0"/>
        <v>24330861.459999986</v>
      </c>
      <c r="F37" s="592">
        <f t="shared" si="2"/>
        <v>2.1498560790745806E-2</v>
      </c>
      <c r="G37" s="593">
        <f t="shared" si="1"/>
        <v>518</v>
      </c>
      <c r="H37" s="594">
        <f t="shared" si="3"/>
        <v>7.5568587976133162E-3</v>
      </c>
      <c r="I37" s="111"/>
      <c r="K37" s="119"/>
      <c r="M37" s="184"/>
      <c r="N37" s="12"/>
      <c r="O37" s="185"/>
      <c r="P37" s="186"/>
      <c r="Q37" s="185"/>
    </row>
    <row r="38" spans="1:17">
      <c r="A38" s="114"/>
      <c r="B38" s="13"/>
      <c r="C38" s="12"/>
      <c r="D38" s="590" t="s">
        <v>562</v>
      </c>
      <c r="E38" s="591">
        <f t="shared" si="0"/>
        <v>22907992.779999994</v>
      </c>
      <c r="F38" s="592">
        <f t="shared" si="2"/>
        <v>2.0241325042454791E-2</v>
      </c>
      <c r="G38" s="593">
        <f t="shared" si="1"/>
        <v>468</v>
      </c>
      <c r="H38" s="594">
        <f t="shared" si="3"/>
        <v>6.8274322727471665E-3</v>
      </c>
      <c r="I38" s="111"/>
      <c r="K38" s="119"/>
      <c r="M38" s="184"/>
      <c r="N38" s="12"/>
      <c r="O38" s="185"/>
      <c r="P38" s="186"/>
      <c r="Q38" s="185"/>
    </row>
    <row r="39" spans="1:17">
      <c r="A39" s="114"/>
      <c r="B39" s="13"/>
      <c r="C39" s="12"/>
      <c r="D39" s="590" t="s">
        <v>563</v>
      </c>
      <c r="E39" s="591">
        <f t="shared" si="0"/>
        <v>19228976.599999998</v>
      </c>
      <c r="F39" s="592">
        <f t="shared" si="2"/>
        <v>1.6990574832648313E-2</v>
      </c>
      <c r="G39" s="593">
        <f t="shared" si="1"/>
        <v>377</v>
      </c>
      <c r="H39" s="594">
        <f t="shared" si="3"/>
        <v>5.4998759974907727E-3</v>
      </c>
      <c r="I39" s="111"/>
      <c r="K39" s="119"/>
      <c r="M39" s="184"/>
      <c r="N39" s="12"/>
      <c r="O39" s="185"/>
      <c r="P39" s="186"/>
      <c r="Q39" s="185"/>
    </row>
    <row r="40" spans="1:17">
      <c r="A40" s="114"/>
      <c r="B40" s="13"/>
      <c r="C40" s="12"/>
      <c r="D40" s="590" t="s">
        <v>564</v>
      </c>
      <c r="E40" s="591">
        <f t="shared" si="0"/>
        <v>18574728.16</v>
      </c>
      <c r="F40" s="592">
        <f t="shared" si="2"/>
        <v>1.6412485976948974E-2</v>
      </c>
      <c r="G40" s="593">
        <f t="shared" si="1"/>
        <v>351</v>
      </c>
      <c r="H40" s="594">
        <f t="shared" si="3"/>
        <v>5.1205742045603748E-3</v>
      </c>
      <c r="I40" s="111"/>
      <c r="K40" s="119"/>
      <c r="M40" s="184"/>
      <c r="N40" s="12"/>
      <c r="O40" s="185"/>
      <c r="P40" s="186"/>
      <c r="Q40" s="185"/>
    </row>
    <row r="41" spans="1:17">
      <c r="A41" s="114"/>
      <c r="B41" s="13"/>
      <c r="C41" s="12"/>
      <c r="D41" s="590" t="s">
        <v>565</v>
      </c>
      <c r="E41" s="591">
        <f t="shared" si="0"/>
        <v>15072258.019999988</v>
      </c>
      <c r="F41" s="592">
        <f t="shared" si="2"/>
        <v>1.3317730481079971E-2</v>
      </c>
      <c r="G41" s="593">
        <f t="shared" si="1"/>
        <v>274</v>
      </c>
      <c r="H41" s="594">
        <f t="shared" si="3"/>
        <v>3.997257356266503E-3</v>
      </c>
      <c r="I41" s="111"/>
      <c r="K41" s="119"/>
      <c r="M41" s="184"/>
      <c r="N41" s="12"/>
      <c r="O41" s="185"/>
      <c r="P41" s="186"/>
      <c r="Q41" s="185"/>
    </row>
    <row r="42" spans="1:17">
      <c r="A42" s="114"/>
      <c r="B42" s="13"/>
      <c r="C42" s="12"/>
      <c r="D42" s="590" t="s">
        <v>566</v>
      </c>
      <c r="E42" s="591">
        <f t="shared" si="0"/>
        <v>15320661.589999998</v>
      </c>
      <c r="F42" s="592">
        <f t="shared" si="2"/>
        <v>1.3537217952128335E-2</v>
      </c>
      <c r="G42" s="593">
        <f t="shared" si="1"/>
        <v>269</v>
      </c>
      <c r="H42" s="594">
        <f t="shared" si="3"/>
        <v>3.9243147037798885E-3</v>
      </c>
      <c r="I42" s="111"/>
      <c r="K42" s="119"/>
      <c r="M42" s="184"/>
      <c r="N42" s="12"/>
      <c r="O42" s="185"/>
      <c r="P42" s="186"/>
      <c r="Q42" s="185"/>
    </row>
    <row r="43" spans="1:17">
      <c r="A43" s="114"/>
      <c r="B43" s="13"/>
      <c r="C43" s="12"/>
      <c r="D43" s="590" t="s">
        <v>567</v>
      </c>
      <c r="E43" s="591">
        <f t="shared" si="0"/>
        <v>16331983.380000001</v>
      </c>
      <c r="F43" s="592">
        <f t="shared" si="2"/>
        <v>1.4430814055047453E-2</v>
      </c>
      <c r="G43" s="593">
        <f t="shared" si="1"/>
        <v>277</v>
      </c>
      <c r="H43" s="594">
        <f t="shared" si="3"/>
        <v>4.0410229477584724E-3</v>
      </c>
      <c r="I43" s="111"/>
      <c r="K43" s="119"/>
      <c r="M43" s="184"/>
      <c r="N43" s="12"/>
      <c r="O43" s="185"/>
      <c r="P43" s="186"/>
      <c r="Q43" s="185"/>
    </row>
    <row r="44" spans="1:17">
      <c r="A44" s="114"/>
      <c r="B44" s="13"/>
      <c r="C44" s="12"/>
      <c r="D44" s="590" t="s">
        <v>568</v>
      </c>
      <c r="E44" s="591">
        <f t="shared" si="0"/>
        <v>14515583.630000005</v>
      </c>
      <c r="F44" s="592">
        <f t="shared" si="2"/>
        <v>1.282585730043896E-2</v>
      </c>
      <c r="G44" s="593">
        <f t="shared" si="1"/>
        <v>238</v>
      </c>
      <c r="H44" s="594">
        <f t="shared" si="3"/>
        <v>3.4720702583628752E-3</v>
      </c>
      <c r="I44" s="111"/>
      <c r="K44" s="119"/>
      <c r="M44" s="184"/>
      <c r="N44" s="12"/>
      <c r="O44" s="185"/>
      <c r="P44" s="186"/>
      <c r="Q44" s="185"/>
    </row>
    <row r="45" spans="1:17">
      <c r="A45" s="114"/>
      <c r="B45" s="13"/>
      <c r="C45" s="12"/>
      <c r="D45" s="590" t="s">
        <v>569</v>
      </c>
      <c r="E45" s="591">
        <f t="shared" si="0"/>
        <v>14566210.980000015</v>
      </c>
      <c r="F45" s="592">
        <f t="shared" si="2"/>
        <v>1.2870591234888382E-2</v>
      </c>
      <c r="G45" s="593">
        <f t="shared" si="1"/>
        <v>231</v>
      </c>
      <c r="H45" s="594">
        <f t="shared" si="3"/>
        <v>3.3699505448816142E-3</v>
      </c>
      <c r="I45" s="111"/>
      <c r="K45" s="119"/>
      <c r="M45" s="184"/>
      <c r="N45" s="12"/>
      <c r="O45" s="185"/>
      <c r="P45" s="186"/>
      <c r="Q45" s="185"/>
    </row>
    <row r="46" spans="1:17">
      <c r="A46" s="114"/>
      <c r="B46" s="13"/>
      <c r="C46" s="12"/>
      <c r="D46" s="590" t="s">
        <v>570</v>
      </c>
      <c r="E46" s="591">
        <f t="shared" si="0"/>
        <v>14741862.299999988</v>
      </c>
      <c r="F46" s="592">
        <f t="shared" si="2"/>
        <v>1.302579538116172E-2</v>
      </c>
      <c r="G46" s="593">
        <f t="shared" si="1"/>
        <v>227</v>
      </c>
      <c r="H46" s="594">
        <f t="shared" si="3"/>
        <v>3.3115964228923223E-3</v>
      </c>
      <c r="I46" s="111"/>
      <c r="K46" s="119"/>
      <c r="M46" s="184"/>
      <c r="N46" s="12"/>
      <c r="O46" s="185"/>
      <c r="P46" s="186"/>
      <c r="Q46" s="185"/>
    </row>
    <row r="47" spans="1:17">
      <c r="A47" s="114"/>
      <c r="B47" s="13"/>
      <c r="C47" s="12"/>
      <c r="D47" s="590" t="s">
        <v>571</v>
      </c>
      <c r="E47" s="591">
        <f t="shared" si="0"/>
        <v>11650502.429999994</v>
      </c>
      <c r="F47" s="592">
        <f t="shared" si="2"/>
        <v>1.0294293736613416E-2</v>
      </c>
      <c r="G47" s="593">
        <f t="shared" si="1"/>
        <v>174</v>
      </c>
      <c r="H47" s="594">
        <f t="shared" si="3"/>
        <v>2.5384043065342027E-3</v>
      </c>
      <c r="I47" s="111"/>
      <c r="K47" s="119"/>
      <c r="M47" s="184"/>
      <c r="N47" s="12"/>
      <c r="O47" s="185"/>
      <c r="P47" s="186"/>
      <c r="Q47" s="185"/>
    </row>
    <row r="48" spans="1:17">
      <c r="A48" s="114"/>
      <c r="B48" s="13"/>
      <c r="C48" s="12"/>
      <c r="D48" s="590" t="s">
        <v>572</v>
      </c>
      <c r="E48" s="591">
        <f t="shared" si="0"/>
        <v>9447359.320000004</v>
      </c>
      <c r="F48" s="592">
        <f t="shared" si="2"/>
        <v>8.3476135436858119E-3</v>
      </c>
      <c r="G48" s="593">
        <f t="shared" si="1"/>
        <v>137</v>
      </c>
      <c r="H48" s="594">
        <f t="shared" si="3"/>
        <v>1.9986286781332515E-3</v>
      </c>
      <c r="I48" s="111"/>
      <c r="K48" s="119"/>
      <c r="M48" s="184"/>
      <c r="N48" s="12"/>
      <c r="O48" s="185"/>
      <c r="P48" s="186"/>
      <c r="Q48" s="185"/>
    </row>
    <row r="49" spans="1:17">
      <c r="A49" s="114"/>
      <c r="B49" s="13"/>
      <c r="C49" s="12"/>
      <c r="D49" s="590" t="s">
        <v>573</v>
      </c>
      <c r="E49" s="591">
        <f t="shared" si="0"/>
        <v>7223369.9299999997</v>
      </c>
      <c r="F49" s="592">
        <f t="shared" si="2"/>
        <v>6.382513739164185E-3</v>
      </c>
      <c r="G49" s="593">
        <f t="shared" si="1"/>
        <v>102</v>
      </c>
      <c r="H49" s="594">
        <f t="shared" si="3"/>
        <v>1.4880301107269465E-3</v>
      </c>
      <c r="I49" s="111"/>
      <c r="K49" s="119"/>
      <c r="M49" s="184"/>
      <c r="N49" s="12"/>
      <c r="O49" s="185"/>
      <c r="P49" s="186"/>
      <c r="Q49" s="185"/>
    </row>
    <row r="50" spans="1:17">
      <c r="A50" s="114"/>
      <c r="B50" s="13"/>
      <c r="C50" s="12"/>
      <c r="D50" s="590" t="s">
        <v>574</v>
      </c>
      <c r="E50" s="591">
        <f t="shared" si="0"/>
        <v>6777977.0700000012</v>
      </c>
      <c r="F50" s="592">
        <f t="shared" si="2"/>
        <v>5.9889680567716428E-3</v>
      </c>
      <c r="G50" s="593">
        <f t="shared" si="1"/>
        <v>93</v>
      </c>
      <c r="H50" s="594">
        <f t="shared" si="3"/>
        <v>1.3567333362510395E-3</v>
      </c>
      <c r="I50" s="111"/>
      <c r="K50" s="119"/>
      <c r="M50" s="184"/>
      <c r="N50" s="12"/>
      <c r="O50" s="185"/>
      <c r="P50" s="186"/>
      <c r="Q50" s="185"/>
    </row>
    <row r="51" spans="1:17">
      <c r="A51" s="114"/>
      <c r="B51" s="13"/>
      <c r="C51" s="12"/>
      <c r="D51" s="590" t="s">
        <v>575</v>
      </c>
      <c r="E51" s="591">
        <f t="shared" si="0"/>
        <v>4112425.8799999994</v>
      </c>
      <c r="F51" s="592">
        <f t="shared" si="2"/>
        <v>3.6337076648093477E-3</v>
      </c>
      <c r="G51" s="593">
        <f t="shared" si="1"/>
        <v>55</v>
      </c>
      <c r="H51" s="594">
        <f t="shared" si="3"/>
        <v>8.0236917735276522E-4</v>
      </c>
      <c r="I51" s="111"/>
      <c r="K51" s="119"/>
      <c r="M51" s="184"/>
      <c r="N51" s="12"/>
      <c r="O51" s="185"/>
      <c r="P51" s="186"/>
      <c r="Q51" s="185"/>
    </row>
    <row r="52" spans="1:17">
      <c r="A52" s="114"/>
      <c r="B52" s="13"/>
      <c r="C52" s="12"/>
      <c r="D52" s="590" t="s">
        <v>576</v>
      </c>
      <c r="E52" s="591">
        <f t="shared" si="0"/>
        <v>3462051.8</v>
      </c>
      <c r="F52" s="592">
        <f t="shared" si="2"/>
        <v>3.0590421636066058E-3</v>
      </c>
      <c r="G52" s="593">
        <f t="shared" si="1"/>
        <v>45</v>
      </c>
      <c r="H52" s="594">
        <f t="shared" si="3"/>
        <v>6.5648387237953517E-4</v>
      </c>
      <c r="I52" s="111"/>
      <c r="K52" s="119"/>
      <c r="M52" s="184"/>
      <c r="N52" s="12"/>
      <c r="O52" s="185"/>
      <c r="P52" s="186"/>
      <c r="Q52" s="185"/>
    </row>
    <row r="53" spans="1:17">
      <c r="A53" s="114"/>
      <c r="B53" s="13"/>
      <c r="C53" s="12"/>
      <c r="D53" s="590" t="s">
        <v>577</v>
      </c>
      <c r="E53" s="591">
        <f t="shared" si="0"/>
        <v>1181703.9500000002</v>
      </c>
      <c r="F53" s="592">
        <f t="shared" si="2"/>
        <v>1.0441444602158965E-3</v>
      </c>
      <c r="G53" s="593">
        <f t="shared" si="1"/>
        <v>15</v>
      </c>
      <c r="H53" s="594">
        <f t="shared" si="3"/>
        <v>2.1882795745984507E-4</v>
      </c>
      <c r="I53" s="111"/>
      <c r="K53" s="119"/>
      <c r="M53" s="184"/>
      <c r="N53" s="12"/>
      <c r="O53" s="185"/>
      <c r="P53" s="186"/>
      <c r="Q53" s="185"/>
    </row>
    <row r="54" spans="1:17" ht="13" thickBot="1">
      <c r="A54" s="114"/>
      <c r="B54" s="13"/>
      <c r="C54" s="12"/>
      <c r="D54" s="590" t="s">
        <v>710</v>
      </c>
      <c r="E54" s="591">
        <f t="shared" si="0"/>
        <v>3412781.290000001</v>
      </c>
      <c r="F54" s="592">
        <f t="shared" si="2"/>
        <v>3.0155071224751018E-3</v>
      </c>
      <c r="G54" s="593">
        <f t="shared" si="1"/>
        <v>40</v>
      </c>
      <c r="H54" s="594">
        <f t="shared" si="3"/>
        <v>5.835412198929202E-4</v>
      </c>
      <c r="I54" s="111"/>
      <c r="K54" s="119"/>
      <c r="M54" s="184"/>
      <c r="N54" s="12"/>
      <c r="O54" s="185"/>
      <c r="P54" s="186"/>
      <c r="Q54" s="185"/>
    </row>
    <row r="55" spans="1:17" ht="14" thickTop="1" thickBot="1">
      <c r="A55" s="114"/>
      <c r="B55" s="187"/>
      <c r="C55" s="188"/>
      <c r="D55" s="526" t="s">
        <v>36</v>
      </c>
      <c r="E55" s="785">
        <f>SUM(E14:E54)</f>
        <v>1131743733.7700002</v>
      </c>
      <c r="F55" s="791">
        <f t="shared" ref="F55:H55" si="4">SUM(F14:F54)</f>
        <v>0.99999999999999978</v>
      </c>
      <c r="G55" s="787">
        <f t="shared" si="4"/>
        <v>68547</v>
      </c>
      <c r="H55" s="835">
        <f t="shared" si="4"/>
        <v>1</v>
      </c>
      <c r="I55" s="111"/>
      <c r="K55" s="119"/>
      <c r="M55" s="527"/>
      <c r="N55" s="528"/>
      <c r="O55" s="529"/>
      <c r="P55" s="530"/>
      <c r="Q55" s="529"/>
    </row>
    <row r="56" spans="1:17" ht="13">
      <c r="A56" s="114"/>
      <c r="B56" s="187"/>
      <c r="C56" s="188"/>
      <c r="D56" s="527"/>
      <c r="E56" s="528"/>
      <c r="F56" s="535"/>
      <c r="G56" s="530"/>
      <c r="H56" s="529"/>
      <c r="I56" s="111"/>
      <c r="K56" s="119"/>
      <c r="M56" s="527"/>
      <c r="N56" s="528"/>
      <c r="O56" s="529"/>
      <c r="P56" s="530"/>
      <c r="Q56" s="529"/>
    </row>
    <row r="57" spans="1:17" ht="13">
      <c r="A57" s="114"/>
      <c r="B57" s="187"/>
      <c r="C57" s="188"/>
      <c r="D57" s="527"/>
      <c r="E57" s="528"/>
      <c r="F57" s="535"/>
      <c r="G57" s="530"/>
      <c r="H57" s="529"/>
      <c r="I57" s="111"/>
      <c r="K57" s="119"/>
      <c r="M57" s="527"/>
      <c r="N57" s="528"/>
      <c r="O57" s="529"/>
      <c r="P57" s="530"/>
      <c r="Q57" s="529"/>
    </row>
    <row r="58" spans="1:17" ht="13.5" thickBot="1">
      <c r="A58" s="114"/>
      <c r="B58" s="187"/>
      <c r="C58" s="188"/>
      <c r="D58" s="144" t="s">
        <v>70</v>
      </c>
      <c r="E58" s="144" t="s">
        <v>60</v>
      </c>
      <c r="F58" s="187"/>
      <c r="G58" s="187"/>
      <c r="H58" s="187"/>
      <c r="I58" s="111"/>
      <c r="K58" s="119"/>
      <c r="M58" s="144"/>
      <c r="N58" s="144"/>
      <c r="O58" s="187"/>
      <c r="P58" s="187"/>
      <c r="Q58" s="187"/>
    </row>
    <row r="59" spans="1:17" ht="13" thickBot="1">
      <c r="A59" s="114"/>
      <c r="B59" s="187"/>
      <c r="C59" s="188"/>
      <c r="D59" s="453" t="s">
        <v>61</v>
      </c>
      <c r="E59" s="775">
        <f>E55/G55</f>
        <v>16510.477975257854</v>
      </c>
      <c r="F59" s="187"/>
      <c r="G59" s="187"/>
      <c r="H59" s="187"/>
      <c r="I59" s="111"/>
      <c r="K59" s="119"/>
      <c r="M59" s="191"/>
      <c r="N59" s="220"/>
      <c r="O59" s="187"/>
      <c r="P59" s="187"/>
      <c r="Q59" s="187"/>
    </row>
    <row r="60" spans="1:17">
      <c r="A60" s="114"/>
      <c r="I60" s="111"/>
      <c r="K60" s="119"/>
    </row>
    <row r="61" spans="1:17">
      <c r="A61" s="150"/>
      <c r="B61" s="51"/>
      <c r="C61" s="51"/>
      <c r="D61" s="51"/>
      <c r="E61" s="51"/>
      <c r="F61" s="51"/>
      <c r="G61" s="51"/>
      <c r="H61" s="51"/>
      <c r="I61" s="349"/>
      <c r="J61" s="51"/>
      <c r="K61" s="152"/>
    </row>
    <row r="62" spans="1:17">
      <c r="I62" s="111"/>
    </row>
    <row r="63" spans="1:17">
      <c r="I63" s="111"/>
    </row>
    <row r="64" spans="1:17">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0.8164062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45911</v>
      </c>
      <c r="G2" s="116"/>
      <c r="H2" s="116"/>
      <c r="I2" s="116"/>
      <c r="J2" s="118"/>
      <c r="K2" s="321"/>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16</v>
      </c>
      <c r="G4" s="122"/>
      <c r="H4" s="127"/>
      <c r="I4" s="122"/>
      <c r="J4" s="128"/>
      <c r="K4" s="321"/>
    </row>
    <row r="5" spans="1:13" ht="18">
      <c r="A5" s="114"/>
      <c r="B5" s="129" t="s">
        <v>166</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0.453125" style="18" customWidth="1"/>
    <col min="4" max="4" width="18.81640625" style="18" customWidth="1"/>
    <col min="5" max="5" width="18" style="18" customWidth="1"/>
    <col min="6" max="6" width="18.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7.17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167</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25" customHeight="1" thickBot="1">
      <c r="A13" s="114"/>
      <c r="B13" s="438"/>
      <c r="E13" s="425" t="s">
        <v>63</v>
      </c>
      <c r="F13" s="578" t="s">
        <v>72</v>
      </c>
      <c r="G13" s="426" t="s">
        <v>114</v>
      </c>
      <c r="H13" s="427" t="s">
        <v>62</v>
      </c>
      <c r="I13" s="111"/>
      <c r="K13" s="119"/>
      <c r="M13" s="579"/>
      <c r="N13" s="202"/>
      <c r="O13" s="202"/>
      <c r="P13" s="202"/>
      <c r="Q13" s="202"/>
    </row>
    <row r="14" spans="1:17">
      <c r="A14" s="114"/>
      <c r="B14" s="168"/>
      <c r="C14" s="168"/>
      <c r="E14" s="580">
        <v>1</v>
      </c>
      <c r="F14" s="574">
        <f t="shared" ref="F14:F38" si="0">VLOOKUP(CONCATENATE("Borrower_",E14),Assets_Daten,3,0)</f>
        <v>117438.49</v>
      </c>
      <c r="G14" s="581">
        <f t="shared" ref="G14:G38" si="1">F14/VLOOKUP("Outstanding_eop_current",calcdata,2,0)</f>
        <v>1.037677404307737E-4</v>
      </c>
      <c r="H14" s="582">
        <f t="shared" ref="H14:H38" si="2">VLOOKUP(CONCATENATE("Borrower_",E14),Assets_Daten,2,0)</f>
        <v>2</v>
      </c>
      <c r="I14" s="111"/>
      <c r="K14" s="119"/>
      <c r="N14" s="432"/>
      <c r="O14" s="433"/>
      <c r="P14" s="329"/>
    </row>
    <row r="15" spans="1:17">
      <c r="A15" s="114"/>
      <c r="B15" s="13"/>
      <c r="C15" s="12"/>
      <c r="E15" s="580">
        <f>+E14+1</f>
        <v>2</v>
      </c>
      <c r="F15" s="574">
        <f t="shared" si="0"/>
        <v>104381.64</v>
      </c>
      <c r="G15" s="581">
        <f t="shared" si="1"/>
        <v>9.2230808870741304E-5</v>
      </c>
      <c r="H15" s="582">
        <f t="shared" si="2"/>
        <v>1</v>
      </c>
      <c r="I15" s="111"/>
      <c r="K15" s="119"/>
      <c r="N15" s="432"/>
      <c r="O15" s="433"/>
      <c r="P15" s="329"/>
    </row>
    <row r="16" spans="1:17">
      <c r="A16" s="114"/>
      <c r="B16" s="13"/>
      <c r="C16" s="12"/>
      <c r="E16" s="580">
        <f t="shared" ref="E16:E38" si="3">+E15+1</f>
        <v>3</v>
      </c>
      <c r="F16" s="574">
        <f t="shared" si="0"/>
        <v>100596.6</v>
      </c>
      <c r="G16" s="581">
        <f t="shared" si="1"/>
        <v>8.8886376834531586E-5</v>
      </c>
      <c r="H16" s="582">
        <f t="shared" si="2"/>
        <v>1</v>
      </c>
      <c r="I16" s="111"/>
      <c r="K16" s="119"/>
      <c r="N16" s="432"/>
      <c r="O16" s="433"/>
      <c r="P16" s="329"/>
    </row>
    <row r="17" spans="1:16">
      <c r="A17" s="114"/>
      <c r="B17" s="13"/>
      <c r="C17" s="12"/>
      <c r="E17" s="580">
        <f t="shared" si="3"/>
        <v>4</v>
      </c>
      <c r="F17" s="574">
        <f t="shared" si="0"/>
        <v>100334.35</v>
      </c>
      <c r="G17" s="581">
        <f t="shared" si="1"/>
        <v>8.8654654765148955E-5</v>
      </c>
      <c r="H17" s="582">
        <f t="shared" si="2"/>
        <v>1</v>
      </c>
      <c r="I17" s="111"/>
      <c r="K17" s="119"/>
      <c r="N17" s="432"/>
      <c r="O17" s="433"/>
      <c r="P17" s="329"/>
    </row>
    <row r="18" spans="1:16">
      <c r="A18" s="114"/>
      <c r="B18" s="13"/>
      <c r="C18" s="12"/>
      <c r="E18" s="580">
        <f t="shared" si="3"/>
        <v>5</v>
      </c>
      <c r="F18" s="574">
        <f t="shared" si="0"/>
        <v>100108.69</v>
      </c>
      <c r="G18" s="581">
        <f t="shared" si="1"/>
        <v>8.8455263336447787E-5</v>
      </c>
      <c r="H18" s="582">
        <f t="shared" si="2"/>
        <v>1</v>
      </c>
      <c r="I18" s="111"/>
      <c r="K18" s="119"/>
      <c r="N18" s="432"/>
      <c r="O18" s="433"/>
      <c r="P18" s="329"/>
    </row>
    <row r="19" spans="1:16">
      <c r="A19" s="114"/>
      <c r="B19" s="13"/>
      <c r="C19" s="12"/>
      <c r="E19" s="580">
        <f t="shared" si="3"/>
        <v>6</v>
      </c>
      <c r="F19" s="574">
        <f t="shared" si="0"/>
        <v>99938.95</v>
      </c>
      <c r="G19" s="581">
        <f t="shared" si="1"/>
        <v>8.8305282386754716E-5</v>
      </c>
      <c r="H19" s="582">
        <f t="shared" si="2"/>
        <v>1</v>
      </c>
      <c r="I19" s="111"/>
      <c r="K19" s="119"/>
      <c r="N19" s="432"/>
      <c r="O19" s="433"/>
      <c r="P19" s="329"/>
    </row>
    <row r="20" spans="1:16">
      <c r="A20" s="114"/>
      <c r="B20" s="13"/>
      <c r="C20" s="12"/>
      <c r="E20" s="580">
        <f t="shared" si="3"/>
        <v>7</v>
      </c>
      <c r="F20" s="574">
        <f t="shared" si="0"/>
        <v>93868.28</v>
      </c>
      <c r="G20" s="581">
        <f t="shared" si="1"/>
        <v>8.2941285380314287E-5</v>
      </c>
      <c r="H20" s="582">
        <f t="shared" si="2"/>
        <v>1</v>
      </c>
      <c r="I20" s="111"/>
      <c r="K20" s="119"/>
      <c r="N20" s="432"/>
      <c r="O20" s="433"/>
      <c r="P20" s="329"/>
    </row>
    <row r="21" spans="1:16">
      <c r="A21" s="114"/>
      <c r="B21" s="13"/>
      <c r="C21" s="12"/>
      <c r="E21" s="580">
        <f t="shared" si="3"/>
        <v>8</v>
      </c>
      <c r="F21" s="574">
        <f t="shared" si="0"/>
        <v>88310.63</v>
      </c>
      <c r="G21" s="581">
        <f t="shared" si="1"/>
        <v>7.8030588873529417E-5</v>
      </c>
      <c r="H21" s="582">
        <f t="shared" si="2"/>
        <v>1</v>
      </c>
      <c r="I21" s="111"/>
      <c r="K21" s="119"/>
      <c r="N21" s="432"/>
      <c r="O21" s="433"/>
      <c r="P21" s="329"/>
    </row>
    <row r="22" spans="1:16">
      <c r="A22" s="114"/>
      <c r="B22" s="13"/>
      <c r="C22" s="12"/>
      <c r="E22" s="580">
        <f t="shared" si="3"/>
        <v>9</v>
      </c>
      <c r="F22" s="574">
        <f t="shared" si="0"/>
        <v>86255.57</v>
      </c>
      <c r="G22" s="581">
        <f t="shared" si="1"/>
        <v>7.6214753769981462E-5</v>
      </c>
      <c r="H22" s="582">
        <f t="shared" si="2"/>
        <v>1</v>
      </c>
      <c r="I22" s="111"/>
      <c r="K22" s="119"/>
      <c r="N22" s="432"/>
      <c r="O22" s="433"/>
      <c r="P22" s="329"/>
    </row>
    <row r="23" spans="1:16">
      <c r="A23" s="114"/>
      <c r="B23" s="13"/>
      <c r="C23" s="12"/>
      <c r="E23" s="580">
        <f t="shared" si="3"/>
        <v>10</v>
      </c>
      <c r="F23" s="574">
        <f t="shared" si="0"/>
        <v>86228.54</v>
      </c>
      <c r="G23" s="581">
        <f t="shared" si="1"/>
        <v>7.6190870271276349E-5</v>
      </c>
      <c r="H23" s="582">
        <f t="shared" si="2"/>
        <v>1</v>
      </c>
      <c r="I23" s="111"/>
      <c r="K23" s="119"/>
      <c r="N23" s="432"/>
      <c r="O23" s="433"/>
      <c r="P23" s="329"/>
    </row>
    <row r="24" spans="1:16">
      <c r="A24" s="114"/>
      <c r="B24" s="13"/>
      <c r="C24" s="12"/>
      <c r="E24" s="580">
        <f t="shared" si="3"/>
        <v>11</v>
      </c>
      <c r="F24" s="574">
        <f t="shared" si="0"/>
        <v>85984.53</v>
      </c>
      <c r="G24" s="581">
        <f t="shared" si="1"/>
        <v>7.5975264924660324E-5</v>
      </c>
      <c r="H24" s="582">
        <f t="shared" si="2"/>
        <v>1</v>
      </c>
      <c r="I24" s="111"/>
      <c r="K24" s="119"/>
      <c r="N24" s="432"/>
      <c r="O24" s="433"/>
      <c r="P24" s="329"/>
    </row>
    <row r="25" spans="1:16">
      <c r="A25" s="114"/>
      <c r="B25" s="13"/>
      <c r="C25" s="12"/>
      <c r="E25" s="580">
        <f t="shared" si="3"/>
        <v>12</v>
      </c>
      <c r="F25" s="574">
        <f t="shared" si="0"/>
        <v>84908.86</v>
      </c>
      <c r="G25" s="581">
        <f t="shared" si="1"/>
        <v>7.502481124163724E-5</v>
      </c>
      <c r="H25" s="582">
        <f t="shared" si="2"/>
        <v>1</v>
      </c>
      <c r="I25" s="111"/>
      <c r="K25" s="119"/>
      <c r="N25" s="432"/>
      <c r="O25" s="433"/>
      <c r="P25" s="329"/>
    </row>
    <row r="26" spans="1:16">
      <c r="A26" s="114"/>
      <c r="B26" s="13"/>
      <c r="C26" s="12"/>
      <c r="E26" s="580">
        <f t="shared" si="3"/>
        <v>13</v>
      </c>
      <c r="F26" s="574">
        <f t="shared" si="0"/>
        <v>84413.6</v>
      </c>
      <c r="G26" s="581">
        <f t="shared" si="1"/>
        <v>7.4587203340464945E-5</v>
      </c>
      <c r="H26" s="582">
        <f t="shared" si="2"/>
        <v>1</v>
      </c>
      <c r="I26" s="111"/>
      <c r="K26" s="119"/>
      <c r="N26" s="432"/>
      <c r="O26" s="433"/>
      <c r="P26" s="329"/>
    </row>
    <row r="27" spans="1:16">
      <c r="A27" s="114"/>
      <c r="B27" s="13"/>
      <c r="C27" s="12"/>
      <c r="E27" s="580">
        <f t="shared" si="3"/>
        <v>14</v>
      </c>
      <c r="F27" s="574">
        <f t="shared" si="0"/>
        <v>84264.37</v>
      </c>
      <c r="G27" s="581">
        <f t="shared" si="1"/>
        <v>7.4455344867961707E-5</v>
      </c>
      <c r="H27" s="582">
        <f t="shared" si="2"/>
        <v>1</v>
      </c>
      <c r="I27" s="111"/>
      <c r="K27" s="119"/>
      <c r="N27" s="432"/>
      <c r="O27" s="433"/>
      <c r="P27" s="329"/>
    </row>
    <row r="28" spans="1:16">
      <c r="A28" s="114"/>
      <c r="B28" s="13"/>
      <c r="C28" s="12"/>
      <c r="E28" s="580">
        <f t="shared" si="3"/>
        <v>15</v>
      </c>
      <c r="F28" s="574">
        <f t="shared" si="0"/>
        <v>84228.72</v>
      </c>
      <c r="G28" s="581">
        <f t="shared" si="1"/>
        <v>7.4423844804001794E-5</v>
      </c>
      <c r="H28" s="582">
        <f t="shared" si="2"/>
        <v>1</v>
      </c>
      <c r="I28" s="111"/>
      <c r="K28" s="119"/>
      <c r="N28" s="432"/>
      <c r="O28" s="433"/>
      <c r="P28" s="329"/>
    </row>
    <row r="29" spans="1:16">
      <c r="A29" s="114"/>
      <c r="B29" s="13"/>
      <c r="C29" s="12"/>
      <c r="E29" s="580">
        <f t="shared" si="3"/>
        <v>16</v>
      </c>
      <c r="F29" s="574">
        <f t="shared" si="0"/>
        <v>84155.85</v>
      </c>
      <c r="G29" s="581">
        <f t="shared" si="1"/>
        <v>7.4359457436238543E-5</v>
      </c>
      <c r="H29" s="582">
        <f t="shared" si="2"/>
        <v>1</v>
      </c>
      <c r="I29" s="111"/>
      <c r="K29" s="119"/>
      <c r="N29" s="432"/>
      <c r="O29" s="433"/>
      <c r="P29" s="329"/>
    </row>
    <row r="30" spans="1:16">
      <c r="A30" s="114"/>
      <c r="B30" s="13"/>
      <c r="C30" s="12"/>
      <c r="E30" s="580">
        <f t="shared" si="3"/>
        <v>17</v>
      </c>
      <c r="F30" s="574">
        <f t="shared" si="0"/>
        <v>84024.9</v>
      </c>
      <c r="G30" s="581">
        <f t="shared" si="1"/>
        <v>7.4243751030192193E-5</v>
      </c>
      <c r="H30" s="582">
        <f t="shared" si="2"/>
        <v>1</v>
      </c>
      <c r="I30" s="111"/>
      <c r="J30" s="111"/>
      <c r="K30" s="119"/>
      <c r="N30" s="432"/>
      <c r="O30" s="433"/>
      <c r="P30" s="329"/>
    </row>
    <row r="31" spans="1:16">
      <c r="A31" s="114"/>
      <c r="B31" s="13"/>
      <c r="C31" s="12"/>
      <c r="E31" s="580">
        <f t="shared" si="3"/>
        <v>18</v>
      </c>
      <c r="F31" s="574">
        <f t="shared" si="0"/>
        <v>83858.02</v>
      </c>
      <c r="G31" s="581">
        <f t="shared" si="1"/>
        <v>7.4096297154353983E-5</v>
      </c>
      <c r="H31" s="582">
        <f t="shared" si="2"/>
        <v>1</v>
      </c>
      <c r="I31" s="111"/>
      <c r="J31" s="111"/>
      <c r="K31" s="119"/>
      <c r="N31" s="432"/>
      <c r="O31" s="433"/>
      <c r="P31" s="329"/>
    </row>
    <row r="32" spans="1:16">
      <c r="A32" s="114"/>
      <c r="B32" s="13"/>
      <c r="C32" s="12"/>
      <c r="E32" s="580">
        <f t="shared" si="3"/>
        <v>19</v>
      </c>
      <c r="F32" s="574">
        <f t="shared" si="0"/>
        <v>83810.86</v>
      </c>
      <c r="G32" s="581">
        <f t="shared" si="1"/>
        <v>7.4054626943516666E-5</v>
      </c>
      <c r="H32" s="582">
        <f t="shared" si="2"/>
        <v>1</v>
      </c>
      <c r="I32" s="111"/>
      <c r="J32" s="111"/>
      <c r="K32" s="119"/>
      <c r="N32" s="432"/>
      <c r="O32" s="433"/>
      <c r="P32" s="329"/>
    </row>
    <row r="33" spans="1:17">
      <c r="A33" s="114"/>
      <c r="B33" s="13"/>
      <c r="C33" s="12"/>
      <c r="E33" s="580">
        <f t="shared" si="3"/>
        <v>20</v>
      </c>
      <c r="F33" s="574">
        <f t="shared" si="0"/>
        <v>83351.61</v>
      </c>
      <c r="G33" s="581">
        <f t="shared" si="1"/>
        <v>7.3648837199516795E-5</v>
      </c>
      <c r="H33" s="582">
        <f t="shared" si="2"/>
        <v>1</v>
      </c>
      <c r="I33" s="111"/>
      <c r="J33" s="111"/>
      <c r="K33" s="119"/>
      <c r="N33" s="432"/>
      <c r="O33" s="433"/>
      <c r="P33" s="329"/>
    </row>
    <row r="34" spans="1:17">
      <c r="A34" s="114"/>
      <c r="B34" s="13"/>
      <c r="C34" s="12"/>
      <c r="E34" s="580">
        <f t="shared" si="3"/>
        <v>21</v>
      </c>
      <c r="F34" s="574">
        <f t="shared" si="0"/>
        <v>83196.94</v>
      </c>
      <c r="G34" s="581">
        <f t="shared" si="1"/>
        <v>7.3512171985135819E-5</v>
      </c>
      <c r="H34" s="582">
        <f t="shared" si="2"/>
        <v>1</v>
      </c>
      <c r="I34" s="111"/>
      <c r="J34" s="111"/>
      <c r="K34" s="119"/>
      <c r="N34" s="432"/>
      <c r="O34" s="433"/>
      <c r="P34" s="329"/>
    </row>
    <row r="35" spans="1:17">
      <c r="A35" s="114"/>
      <c r="B35" s="13"/>
      <c r="C35" s="12"/>
      <c r="E35" s="580">
        <f t="shared" si="3"/>
        <v>22</v>
      </c>
      <c r="F35" s="574">
        <f t="shared" si="0"/>
        <v>82998.179999999993</v>
      </c>
      <c r="G35" s="581">
        <f t="shared" si="1"/>
        <v>7.3336549188146339E-5</v>
      </c>
      <c r="H35" s="582">
        <f t="shared" si="2"/>
        <v>1</v>
      </c>
      <c r="I35" s="111"/>
      <c r="J35" s="111"/>
      <c r="K35" s="119"/>
      <c r="N35" s="432"/>
      <c r="O35" s="433"/>
      <c r="P35" s="329"/>
    </row>
    <row r="36" spans="1:17">
      <c r="A36" s="114"/>
      <c r="B36" s="13"/>
      <c r="C36" s="12"/>
      <c r="E36" s="580">
        <f t="shared" si="3"/>
        <v>23</v>
      </c>
      <c r="F36" s="574">
        <f t="shared" si="0"/>
        <v>82576.679999999993</v>
      </c>
      <c r="G36" s="581">
        <f t="shared" si="1"/>
        <v>7.2964115051845954E-5</v>
      </c>
      <c r="H36" s="582">
        <f t="shared" si="2"/>
        <v>1</v>
      </c>
      <c r="I36" s="111"/>
      <c r="J36" s="111"/>
      <c r="K36" s="119"/>
      <c r="N36" s="432"/>
      <c r="O36" s="433"/>
      <c r="P36" s="329"/>
    </row>
    <row r="37" spans="1:17">
      <c r="A37" s="114"/>
      <c r="B37" s="13"/>
      <c r="C37" s="12"/>
      <c r="E37" s="580">
        <f t="shared" si="3"/>
        <v>24</v>
      </c>
      <c r="F37" s="574">
        <f t="shared" si="0"/>
        <v>82275.929999999993</v>
      </c>
      <c r="G37" s="581">
        <f t="shared" si="1"/>
        <v>7.2698374680571129E-5</v>
      </c>
      <c r="H37" s="582">
        <f t="shared" si="2"/>
        <v>1</v>
      </c>
      <c r="I37" s="111"/>
      <c r="J37" s="111"/>
      <c r="K37" s="119"/>
      <c r="N37" s="432"/>
      <c r="O37" s="433"/>
      <c r="P37" s="329"/>
    </row>
    <row r="38" spans="1:17" ht="13" thickBot="1">
      <c r="A38" s="114"/>
      <c r="B38" s="13"/>
      <c r="C38" s="12"/>
      <c r="E38" s="583">
        <f t="shared" si="3"/>
        <v>25</v>
      </c>
      <c r="F38" s="584">
        <f t="shared" si="0"/>
        <v>82271.23</v>
      </c>
      <c r="G38" s="585">
        <f t="shared" si="1"/>
        <v>7.2694221796963505E-5</v>
      </c>
      <c r="H38" s="586">
        <f t="shared" si="2"/>
        <v>1</v>
      </c>
      <c r="I38" s="111"/>
      <c r="J38" s="111"/>
      <c r="K38" s="119"/>
      <c r="N38" s="432"/>
      <c r="O38" s="433"/>
      <c r="P38" s="329"/>
    </row>
    <row r="39" spans="1:17" ht="14" thickTop="1" thickBot="1">
      <c r="A39" s="114"/>
      <c r="B39" s="13"/>
      <c r="C39" s="12"/>
      <c r="E39" s="587"/>
      <c r="F39" s="821">
        <f>SUM(F14:F38)</f>
        <v>2233782.02</v>
      </c>
      <c r="G39" s="822">
        <f>SUM(G14:G38)</f>
        <v>1.9737524965647065E-3</v>
      </c>
      <c r="H39" s="823">
        <f>SUM(H14:H38)</f>
        <v>26</v>
      </c>
      <c r="I39" s="111"/>
      <c r="J39" s="111"/>
      <c r="K39" s="119"/>
      <c r="O39" s="436"/>
      <c r="P39" s="588"/>
      <c r="Q39" s="61"/>
    </row>
    <row r="40" spans="1:17">
      <c r="A40" s="114"/>
      <c r="B40" s="13"/>
      <c r="C40" s="12"/>
      <c r="D40" s="184"/>
      <c r="E40" s="12"/>
      <c r="F40" s="185"/>
      <c r="G40" s="186"/>
      <c r="H40" s="185"/>
      <c r="I40" s="111"/>
      <c r="K40" s="119"/>
      <c r="M40" s="184"/>
      <c r="N40" s="12"/>
      <c r="O40" s="185"/>
      <c r="P40" s="186"/>
      <c r="Q40" s="185"/>
    </row>
    <row r="41" spans="1:17">
      <c r="A41" s="114"/>
      <c r="B41" s="13"/>
      <c r="C41" s="12"/>
      <c r="D41" s="184"/>
      <c r="E41" s="12"/>
      <c r="F41" s="185"/>
      <c r="G41" s="186"/>
      <c r="H41" s="185"/>
      <c r="I41" s="111"/>
      <c r="K41" s="119"/>
      <c r="M41" s="184"/>
      <c r="N41" s="12"/>
      <c r="O41" s="185"/>
      <c r="P41" s="186"/>
      <c r="Q41" s="185"/>
    </row>
    <row r="42" spans="1:17">
      <c r="A42" s="114"/>
      <c r="B42" s="13"/>
      <c r="C42" s="12"/>
      <c r="D42" s="184"/>
      <c r="E42" s="12"/>
      <c r="F42" s="185"/>
      <c r="G42" s="186"/>
      <c r="H42" s="185"/>
      <c r="I42" s="111"/>
      <c r="K42" s="119"/>
      <c r="M42" s="184"/>
      <c r="N42" s="12"/>
      <c r="O42" s="185"/>
      <c r="P42" s="186"/>
      <c r="Q42" s="185"/>
    </row>
    <row r="43" spans="1:17">
      <c r="A43" s="114"/>
      <c r="B43" s="13"/>
      <c r="C43" s="12"/>
      <c r="D43" s="184"/>
      <c r="E43" s="12"/>
      <c r="F43" s="185"/>
      <c r="G43" s="186"/>
      <c r="H43" s="185"/>
      <c r="I43" s="111"/>
      <c r="K43" s="119"/>
      <c r="M43" s="184"/>
      <c r="N43" s="12"/>
      <c r="O43" s="185"/>
      <c r="P43" s="186"/>
      <c r="Q43" s="185"/>
    </row>
    <row r="44" spans="1:17">
      <c r="A44" s="114"/>
      <c r="B44" s="13"/>
      <c r="C44" s="12"/>
      <c r="D44" s="184"/>
      <c r="E44" s="12"/>
      <c r="F44" s="185"/>
      <c r="G44" s="186"/>
      <c r="H44" s="185"/>
      <c r="I44" s="111"/>
      <c r="K44" s="119"/>
      <c r="M44" s="184"/>
      <c r="N44" s="12"/>
      <c r="O44" s="185"/>
      <c r="P44" s="186"/>
      <c r="Q44" s="185"/>
    </row>
    <row r="45" spans="1:17">
      <c r="A45" s="114"/>
      <c r="B45" s="13"/>
      <c r="C45" s="12"/>
      <c r="D45" s="184"/>
      <c r="E45" s="12"/>
      <c r="F45" s="185"/>
      <c r="G45" s="186"/>
      <c r="H45" s="185"/>
      <c r="I45" s="111"/>
      <c r="K45" s="119"/>
      <c r="M45" s="184"/>
      <c r="N45" s="12"/>
      <c r="O45" s="185"/>
      <c r="P45" s="186"/>
      <c r="Q45" s="185"/>
    </row>
    <row r="46" spans="1:17">
      <c r="A46" s="114"/>
      <c r="B46" s="13"/>
      <c r="C46" s="12"/>
      <c r="D46" s="184"/>
      <c r="E46" s="12"/>
      <c r="F46" s="185"/>
      <c r="G46" s="186"/>
      <c r="H46" s="185"/>
      <c r="I46" s="111"/>
      <c r="K46" s="119"/>
      <c r="M46" s="184"/>
      <c r="N46" s="12"/>
      <c r="O46" s="185"/>
      <c r="P46" s="186"/>
      <c r="Q46" s="185"/>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0.54296875" style="18" customWidth="1"/>
    <col min="4" max="4" width="30.1796875" style="18" bestFit="1"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143</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row>
    <row r="13" spans="1:17" ht="29.5" thickBot="1">
      <c r="A13" s="114"/>
      <c r="B13" s="168"/>
      <c r="C13" s="168"/>
      <c r="D13" s="571" t="s">
        <v>64</v>
      </c>
      <c r="E13" s="572" t="s">
        <v>72</v>
      </c>
      <c r="F13" s="426" t="s">
        <v>114</v>
      </c>
      <c r="G13" s="426" t="s">
        <v>62</v>
      </c>
      <c r="H13" s="573" t="s">
        <v>115</v>
      </c>
      <c r="I13" s="111"/>
      <c r="K13" s="119"/>
    </row>
    <row r="14" spans="1:17">
      <c r="A14" s="114"/>
      <c r="B14" s="13"/>
      <c r="C14" s="12"/>
      <c r="D14" s="800" t="s">
        <v>715</v>
      </c>
      <c r="E14" s="574">
        <f t="shared" ref="E14:E30" si="0">VLOOKUP(CONCATENATE("geo_",D14),Assets_Daten,3,0)</f>
        <v>156143069.70999986</v>
      </c>
      <c r="F14" s="575">
        <f>E14/$E$31</f>
        <v>0.13796680737066236</v>
      </c>
      <c r="G14" s="576">
        <f t="shared" ref="G14:G30" si="1">VLOOKUP(CONCATENATE("geo_",D14),Assets_Daten,2,0)</f>
        <v>8675</v>
      </c>
      <c r="H14" s="577">
        <f>G14/$G$31</f>
        <v>0.12655550206427707</v>
      </c>
      <c r="I14" s="111"/>
      <c r="K14" s="119"/>
    </row>
    <row r="15" spans="1:17">
      <c r="A15" s="114"/>
      <c r="B15" s="13"/>
      <c r="C15" s="12"/>
      <c r="D15" s="800" t="s">
        <v>716</v>
      </c>
      <c r="E15" s="574">
        <f t="shared" si="0"/>
        <v>149609463.65000051</v>
      </c>
      <c r="F15" s="575">
        <f t="shared" ref="F15:F30" si="2">E15/$E$31</f>
        <v>0.13219376364614799</v>
      </c>
      <c r="G15" s="576">
        <f t="shared" si="1"/>
        <v>8939</v>
      </c>
      <c r="H15" s="577">
        <f t="shared" ref="H15:H30" si="3">G15/$G$31</f>
        <v>0.13040687411557034</v>
      </c>
      <c r="I15" s="111"/>
      <c r="K15" s="119"/>
    </row>
    <row r="16" spans="1:17">
      <c r="A16" s="114"/>
      <c r="B16" s="13"/>
      <c r="C16" s="12"/>
      <c r="D16" s="800" t="s">
        <v>717</v>
      </c>
      <c r="E16" s="574">
        <f t="shared" si="0"/>
        <v>46941311.829999894</v>
      </c>
      <c r="F16" s="575">
        <f t="shared" si="2"/>
        <v>4.1476979663613113E-2</v>
      </c>
      <c r="G16" s="576">
        <f t="shared" si="1"/>
        <v>2678</v>
      </c>
      <c r="H16" s="577">
        <f t="shared" si="3"/>
        <v>3.9068084671831003E-2</v>
      </c>
      <c r="I16" s="111"/>
      <c r="K16" s="119"/>
    </row>
    <row r="17" spans="1:16">
      <c r="A17" s="114"/>
      <c r="B17" s="13"/>
      <c r="C17" s="12"/>
      <c r="D17" s="800" t="s">
        <v>718</v>
      </c>
      <c r="E17" s="574">
        <f t="shared" si="0"/>
        <v>42840210.479999855</v>
      </c>
      <c r="F17" s="575">
        <f t="shared" si="2"/>
        <v>3.785327826582522E-2</v>
      </c>
      <c r="G17" s="576">
        <f t="shared" si="1"/>
        <v>2760</v>
      </c>
      <c r="H17" s="577">
        <f t="shared" si="3"/>
        <v>4.0264344172611495E-2</v>
      </c>
      <c r="I17" s="111"/>
      <c r="K17" s="119"/>
    </row>
    <row r="18" spans="1:16">
      <c r="A18" s="114"/>
      <c r="B18" s="13"/>
      <c r="C18" s="12"/>
      <c r="D18" s="800" t="s">
        <v>719</v>
      </c>
      <c r="E18" s="574">
        <f t="shared" si="0"/>
        <v>12115516.90000001</v>
      </c>
      <c r="F18" s="575">
        <f t="shared" si="2"/>
        <v>1.0705176921670672E-2</v>
      </c>
      <c r="G18" s="576">
        <f t="shared" si="1"/>
        <v>722</v>
      </c>
      <c r="H18" s="577">
        <f t="shared" si="3"/>
        <v>1.053291901906721E-2</v>
      </c>
      <c r="I18" s="111"/>
      <c r="K18" s="119"/>
    </row>
    <row r="19" spans="1:16">
      <c r="A19" s="114"/>
      <c r="B19" s="13"/>
      <c r="C19" s="12"/>
      <c r="D19" s="800" t="s">
        <v>720</v>
      </c>
      <c r="E19" s="574">
        <f t="shared" si="0"/>
        <v>19367101.520000011</v>
      </c>
      <c r="F19" s="575">
        <f t="shared" si="2"/>
        <v>1.7112620942450831E-2</v>
      </c>
      <c r="G19" s="576">
        <f t="shared" si="1"/>
        <v>1130</v>
      </c>
      <c r="H19" s="577">
        <f t="shared" si="3"/>
        <v>1.6485039461974996E-2</v>
      </c>
      <c r="I19" s="111"/>
      <c r="K19" s="119"/>
    </row>
    <row r="20" spans="1:16">
      <c r="A20" s="114"/>
      <c r="B20" s="13"/>
      <c r="C20" s="12"/>
      <c r="D20" s="800" t="s">
        <v>721</v>
      </c>
      <c r="E20" s="574">
        <f t="shared" si="0"/>
        <v>82454174.539999947</v>
      </c>
      <c r="F20" s="575">
        <f t="shared" si="2"/>
        <v>7.2855870175956947E-2</v>
      </c>
      <c r="G20" s="576">
        <f t="shared" si="1"/>
        <v>4775</v>
      </c>
      <c r="H20" s="577">
        <f t="shared" si="3"/>
        <v>6.966023312471735E-2</v>
      </c>
      <c r="I20" s="111"/>
      <c r="K20" s="119"/>
    </row>
    <row r="21" spans="1:16">
      <c r="A21" s="114"/>
      <c r="B21" s="13"/>
      <c r="C21" s="12"/>
      <c r="D21" s="800" t="s">
        <v>722</v>
      </c>
      <c r="E21" s="574">
        <f t="shared" si="0"/>
        <v>116454448.68000014</v>
      </c>
      <c r="F21" s="575">
        <f t="shared" si="2"/>
        <v>0.10289824913991233</v>
      </c>
      <c r="G21" s="576">
        <f t="shared" si="1"/>
        <v>7125</v>
      </c>
      <c r="H21" s="577">
        <f t="shared" si="3"/>
        <v>0.10394327979342641</v>
      </c>
      <c r="I21" s="111"/>
      <c r="K21" s="119"/>
    </row>
    <row r="22" spans="1:16">
      <c r="A22" s="114"/>
      <c r="B22" s="13"/>
      <c r="C22" s="12"/>
      <c r="D22" s="800" t="s">
        <v>723</v>
      </c>
      <c r="E22" s="574">
        <f t="shared" si="0"/>
        <v>33369201.790000033</v>
      </c>
      <c r="F22" s="575">
        <f t="shared" si="2"/>
        <v>2.9484768321926057E-2</v>
      </c>
      <c r="G22" s="576">
        <f t="shared" si="1"/>
        <v>2219</v>
      </c>
      <c r="H22" s="577">
        <f t="shared" si="3"/>
        <v>3.2371949173559747E-2</v>
      </c>
      <c r="I22" s="111"/>
      <c r="K22" s="119"/>
    </row>
    <row r="23" spans="1:16">
      <c r="A23" s="114"/>
      <c r="B23" s="13"/>
      <c r="C23" s="12"/>
      <c r="D23" s="800" t="s">
        <v>724</v>
      </c>
      <c r="E23" s="574">
        <f t="shared" si="0"/>
        <v>242538102.92000028</v>
      </c>
      <c r="F23" s="575">
        <f t="shared" si="2"/>
        <v>0.21430478975312819</v>
      </c>
      <c r="G23" s="576">
        <f t="shared" si="1"/>
        <v>14473</v>
      </c>
      <c r="H23" s="577">
        <f t="shared" si="3"/>
        <v>0.21113980188775586</v>
      </c>
      <c r="I23" s="111"/>
      <c r="K23" s="119"/>
    </row>
    <row r="24" spans="1:16" ht="12.75" customHeight="1">
      <c r="A24" s="114"/>
      <c r="B24" s="13"/>
      <c r="C24" s="12"/>
      <c r="D24" s="800" t="s">
        <v>725</v>
      </c>
      <c r="E24" s="574">
        <f t="shared" si="0"/>
        <v>57910970.210000046</v>
      </c>
      <c r="F24" s="575">
        <f t="shared" si="2"/>
        <v>5.1169684869462717E-2</v>
      </c>
      <c r="G24" s="576">
        <f t="shared" si="1"/>
        <v>3562</v>
      </c>
      <c r="H24" s="577">
        <f t="shared" si="3"/>
        <v>5.1964345631464542E-2</v>
      </c>
      <c r="I24" s="111"/>
      <c r="K24" s="119"/>
    </row>
    <row r="25" spans="1:16">
      <c r="A25" s="114"/>
      <c r="B25" s="13"/>
      <c r="C25" s="12"/>
      <c r="D25" s="800" t="s">
        <v>726</v>
      </c>
      <c r="E25" s="574">
        <f t="shared" si="0"/>
        <v>17216740.820000038</v>
      </c>
      <c r="F25" s="575">
        <f t="shared" si="2"/>
        <v>1.5212578878301897E-2</v>
      </c>
      <c r="G25" s="576">
        <f t="shared" si="1"/>
        <v>1123</v>
      </c>
      <c r="H25" s="577">
        <f t="shared" si="3"/>
        <v>1.6382919748493735E-2</v>
      </c>
      <c r="I25" s="111"/>
      <c r="K25" s="119"/>
    </row>
    <row r="26" spans="1:16">
      <c r="A26" s="114"/>
      <c r="B26" s="13"/>
      <c r="C26" s="12"/>
      <c r="D26" s="800" t="s">
        <v>812</v>
      </c>
      <c r="E26" s="574">
        <f>VLOOKUP(CONCATENATE("geo_",D26),Assets_Daten,3,0)</f>
        <v>45223139.499999851</v>
      </c>
      <c r="F26" s="575">
        <f t="shared" si="2"/>
        <v>3.9958815896735819E-2</v>
      </c>
      <c r="G26" s="576">
        <f t="shared" si="1"/>
        <v>3076</v>
      </c>
      <c r="H26" s="577">
        <f t="shared" si="3"/>
        <v>4.4874319809765563E-2</v>
      </c>
      <c r="I26" s="111"/>
      <c r="K26" s="119"/>
    </row>
    <row r="27" spans="1:16">
      <c r="A27" s="114"/>
      <c r="B27" s="13"/>
      <c r="C27" s="12"/>
      <c r="D27" s="800" t="s">
        <v>727</v>
      </c>
      <c r="E27" s="574">
        <f t="shared" si="0"/>
        <v>37914718.750000037</v>
      </c>
      <c r="F27" s="575">
        <f t="shared" si="2"/>
        <v>3.3501151911573365E-2</v>
      </c>
      <c r="G27" s="576">
        <f t="shared" si="1"/>
        <v>2581</v>
      </c>
      <c r="H27" s="577">
        <f t="shared" si="3"/>
        <v>3.7652997213590673E-2</v>
      </c>
      <c r="I27" s="111"/>
      <c r="K27" s="119"/>
    </row>
    <row r="28" spans="1:16">
      <c r="A28" s="114"/>
      <c r="B28" s="13"/>
      <c r="C28" s="12"/>
      <c r="D28" s="800" t="s">
        <v>728</v>
      </c>
      <c r="E28" s="574">
        <f t="shared" si="0"/>
        <v>38525982.980000101</v>
      </c>
      <c r="F28" s="575">
        <f t="shared" si="2"/>
        <v>3.4041260252146065E-2</v>
      </c>
      <c r="G28" s="576">
        <f t="shared" si="1"/>
        <v>2538</v>
      </c>
      <c r="H28" s="577">
        <f t="shared" si="3"/>
        <v>3.7025690402205783E-2</v>
      </c>
      <c r="I28" s="111"/>
      <c r="K28" s="119"/>
    </row>
    <row r="29" spans="1:16">
      <c r="A29" s="114"/>
      <c r="B29" s="13"/>
      <c r="C29" s="12"/>
      <c r="D29" s="800" t="s">
        <v>729</v>
      </c>
      <c r="E29" s="574">
        <f t="shared" si="0"/>
        <v>32104040.710000046</v>
      </c>
      <c r="F29" s="575">
        <f t="shared" si="2"/>
        <v>2.8366881787855701E-2</v>
      </c>
      <c r="G29" s="576">
        <f t="shared" si="1"/>
        <v>2115</v>
      </c>
      <c r="H29" s="577">
        <f t="shared" si="3"/>
        <v>3.0854742001838156E-2</v>
      </c>
      <c r="I29" s="111"/>
      <c r="K29" s="119"/>
    </row>
    <row r="30" spans="1:16" ht="13" thickBot="1">
      <c r="A30" s="114"/>
      <c r="B30" s="13"/>
      <c r="C30" s="12"/>
      <c r="D30" s="800" t="s">
        <v>228</v>
      </c>
      <c r="E30" s="574">
        <f t="shared" si="0"/>
        <v>1015538.78</v>
      </c>
      <c r="F30" s="575">
        <f t="shared" si="2"/>
        <v>8.9732220263070929E-4</v>
      </c>
      <c r="G30" s="576">
        <f t="shared" si="1"/>
        <v>56</v>
      </c>
      <c r="H30" s="577">
        <f t="shared" si="3"/>
        <v>8.1695770785008821E-4</v>
      </c>
      <c r="I30" s="111"/>
      <c r="K30" s="119"/>
    </row>
    <row r="31" spans="1:16" ht="14" thickTop="1" thickBot="1">
      <c r="A31" s="114"/>
      <c r="B31" s="13"/>
      <c r="C31" s="12"/>
      <c r="D31" s="526" t="s">
        <v>36</v>
      </c>
      <c r="E31" s="785">
        <f>SUM(E14:E30)</f>
        <v>1131743733.7700007</v>
      </c>
      <c r="F31" s="786">
        <f t="shared" ref="F31:H31" si="4">SUM(F14:F30)</f>
        <v>0.99999999999999989</v>
      </c>
      <c r="G31" s="787">
        <f t="shared" si="4"/>
        <v>68547</v>
      </c>
      <c r="H31" s="788">
        <f t="shared" si="4"/>
        <v>1</v>
      </c>
      <c r="I31" s="111"/>
      <c r="J31" s="111"/>
      <c r="K31" s="119"/>
    </row>
    <row r="32" spans="1:16">
      <c r="A32" s="114"/>
      <c r="B32" s="13"/>
      <c r="C32" s="12"/>
      <c r="E32" s="432"/>
      <c r="F32" s="433"/>
      <c r="G32" s="329"/>
      <c r="I32" s="111"/>
      <c r="J32" s="111"/>
      <c r="K32" s="119"/>
      <c r="N32" s="432"/>
      <c r="O32" s="433"/>
      <c r="P32" s="329"/>
    </row>
    <row r="33" spans="1:17">
      <c r="A33" s="114"/>
      <c r="B33" s="13"/>
      <c r="C33" s="12"/>
      <c r="E33" s="432"/>
      <c r="F33" s="433"/>
      <c r="G33" s="329"/>
      <c r="I33" s="111"/>
      <c r="J33" s="111"/>
      <c r="K33" s="119"/>
      <c r="N33" s="432"/>
      <c r="O33" s="433"/>
      <c r="P33" s="329"/>
    </row>
    <row r="34" spans="1:17">
      <c r="A34" s="114"/>
      <c r="B34" s="13"/>
      <c r="C34" s="12"/>
      <c r="E34" s="432"/>
      <c r="F34" s="433"/>
      <c r="G34" s="329"/>
      <c r="I34" s="111"/>
      <c r="J34" s="111"/>
      <c r="K34" s="119"/>
      <c r="N34" s="432"/>
      <c r="O34" s="433"/>
      <c r="P34" s="329"/>
    </row>
    <row r="35" spans="1:17">
      <c r="A35" s="114"/>
      <c r="B35" s="13"/>
      <c r="C35" s="12"/>
      <c r="E35" s="432"/>
      <c r="F35" s="433"/>
      <c r="G35" s="329"/>
      <c r="I35" s="111"/>
      <c r="J35" s="111"/>
      <c r="K35" s="119"/>
      <c r="N35" s="432"/>
      <c r="O35" s="433"/>
      <c r="P35" s="329"/>
    </row>
    <row r="36" spans="1:17">
      <c r="A36" s="114"/>
      <c r="B36" s="13"/>
      <c r="C36" s="12"/>
      <c r="E36" s="432"/>
      <c r="F36" s="433"/>
      <c r="G36" s="329"/>
      <c r="I36" s="111"/>
      <c r="J36" s="111"/>
      <c r="K36" s="119"/>
      <c r="N36" s="432"/>
      <c r="O36" s="433"/>
      <c r="P36" s="329"/>
    </row>
    <row r="37" spans="1:17">
      <c r="A37" s="114"/>
      <c r="B37" s="13"/>
      <c r="C37" s="12"/>
      <c r="E37" s="432"/>
      <c r="F37" s="433"/>
      <c r="G37" s="329"/>
      <c r="I37" s="111"/>
      <c r="J37" s="111"/>
      <c r="K37" s="119"/>
      <c r="N37" s="432"/>
      <c r="O37" s="433"/>
      <c r="P37" s="329"/>
    </row>
    <row r="38" spans="1:17">
      <c r="A38" s="114"/>
      <c r="B38" s="13"/>
      <c r="C38" s="12"/>
      <c r="E38" s="432"/>
      <c r="F38" s="433"/>
      <c r="G38" s="329"/>
      <c r="I38" s="111"/>
      <c r="J38" s="111"/>
      <c r="K38" s="119"/>
      <c r="N38" s="432"/>
      <c r="O38" s="433"/>
      <c r="P38" s="329"/>
    </row>
    <row r="39" spans="1:17">
      <c r="A39" s="114"/>
      <c r="B39" s="13"/>
      <c r="C39" s="12"/>
      <c r="E39" s="432"/>
      <c r="F39" s="433"/>
      <c r="G39" s="329"/>
      <c r="I39" s="111"/>
      <c r="J39" s="111"/>
      <c r="K39" s="119"/>
      <c r="N39" s="432"/>
      <c r="O39" s="433"/>
      <c r="P39" s="329"/>
    </row>
    <row r="40" spans="1:17">
      <c r="A40" s="114"/>
      <c r="B40" s="13"/>
      <c r="C40" s="12"/>
      <c r="E40" s="432"/>
      <c r="F40" s="433"/>
      <c r="G40" s="329"/>
      <c r="I40" s="111"/>
      <c r="J40" s="111"/>
      <c r="K40" s="119"/>
      <c r="N40" s="432"/>
      <c r="O40" s="433"/>
      <c r="P40" s="329"/>
    </row>
    <row r="41" spans="1:17">
      <c r="A41" s="114"/>
      <c r="B41" s="13"/>
      <c r="C41" s="12"/>
      <c r="E41" s="432"/>
      <c r="F41" s="433"/>
      <c r="G41" s="329"/>
      <c r="I41" s="111"/>
      <c r="J41" s="111"/>
      <c r="K41" s="119"/>
      <c r="N41" s="432"/>
      <c r="O41" s="433"/>
      <c r="P41" s="329"/>
    </row>
    <row r="42" spans="1:17">
      <c r="A42" s="114"/>
      <c r="B42" s="13"/>
      <c r="C42" s="12"/>
      <c r="E42" s="432"/>
      <c r="F42" s="433"/>
      <c r="G42" s="329"/>
      <c r="I42" s="111"/>
      <c r="J42" s="111"/>
      <c r="K42" s="119"/>
      <c r="N42" s="432"/>
      <c r="O42" s="433"/>
      <c r="P42" s="329"/>
    </row>
    <row r="43" spans="1:17">
      <c r="A43" s="114"/>
      <c r="B43" s="13"/>
      <c r="C43" s="12"/>
      <c r="E43" s="432"/>
      <c r="F43" s="433"/>
      <c r="G43" s="329"/>
      <c r="I43" s="111"/>
      <c r="J43" s="111"/>
      <c r="K43" s="119"/>
      <c r="N43" s="432"/>
      <c r="O43" s="433"/>
      <c r="P43" s="329"/>
    </row>
    <row r="44" spans="1:17">
      <c r="A44" s="114"/>
      <c r="B44" s="13"/>
      <c r="C44" s="12"/>
      <c r="E44" s="432"/>
      <c r="F44" s="433"/>
      <c r="G44" s="329"/>
      <c r="I44" s="111"/>
      <c r="J44" s="111"/>
      <c r="K44" s="119"/>
      <c r="N44" s="432"/>
      <c r="O44" s="433"/>
      <c r="P44" s="329"/>
    </row>
    <row r="45" spans="1:17">
      <c r="A45" s="114"/>
      <c r="B45" s="13"/>
      <c r="C45" s="12"/>
      <c r="E45" s="432"/>
      <c r="F45" s="433"/>
      <c r="G45" s="329"/>
      <c r="I45" s="111"/>
      <c r="J45" s="111"/>
      <c r="K45" s="119"/>
      <c r="N45" s="432"/>
      <c r="O45" s="433"/>
      <c r="P45" s="329"/>
    </row>
    <row r="46" spans="1:17">
      <c r="A46" s="114"/>
      <c r="B46" s="13"/>
      <c r="C46" s="12"/>
      <c r="E46" s="432"/>
      <c r="F46" s="433"/>
      <c r="G46" s="329"/>
      <c r="I46" s="111"/>
      <c r="J46" s="111"/>
      <c r="K46" s="119"/>
      <c r="N46" s="432"/>
      <c r="O46" s="433"/>
      <c r="P46" s="329"/>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45911</v>
      </c>
      <c r="G2" s="116"/>
      <c r="H2" s="116"/>
      <c r="I2" s="116"/>
      <c r="J2" s="118"/>
      <c r="K2" s="321"/>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16</v>
      </c>
      <c r="G4" s="122"/>
      <c r="H4" s="127"/>
      <c r="I4" s="122"/>
      <c r="J4" s="128"/>
      <c r="K4" s="321"/>
    </row>
    <row r="5" spans="1:13" ht="18">
      <c r="A5" s="114"/>
      <c r="B5" s="129" t="s">
        <v>144</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1796875" style="18" customWidth="1"/>
    <col min="4" max="4" width="18.816406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145</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
      <c r="A13" s="114"/>
      <c r="B13" s="168"/>
      <c r="C13" s="168"/>
      <c r="D13" s="441" t="s">
        <v>100</v>
      </c>
      <c r="E13" s="470" t="s">
        <v>72</v>
      </c>
      <c r="F13" s="442" t="s">
        <v>114</v>
      </c>
      <c r="G13" s="443" t="s">
        <v>62</v>
      </c>
      <c r="H13" s="471" t="s">
        <v>115</v>
      </c>
      <c r="I13" s="111"/>
      <c r="K13" s="119"/>
      <c r="M13" s="201"/>
      <c r="N13" s="204"/>
      <c r="O13" s="202"/>
      <c r="P13" s="439"/>
      <c r="Q13" s="439"/>
    </row>
    <row r="14" spans="1:17" ht="13.5" customHeight="1">
      <c r="A14" s="114"/>
      <c r="B14" s="13"/>
      <c r="C14" s="12"/>
      <c r="D14" s="554" t="s">
        <v>578</v>
      </c>
      <c r="E14" s="555">
        <f>VLOOKUP(CONCATENATE("Collateral_",D14),Assets_Daten,3,0)</f>
        <v>8955656.6899999939</v>
      </c>
      <c r="F14" s="556">
        <f>E14/$E$16</f>
        <v>7.9131489071005614E-3</v>
      </c>
      <c r="G14" s="557">
        <f>VLOOKUP(CONCATENATE("Collateral_",D14),Assets_Daten,2,0)</f>
        <v>318</v>
      </c>
      <c r="H14" s="558">
        <f>G14/$G$16</f>
        <v>4.6391526981487156E-3</v>
      </c>
      <c r="I14" s="111"/>
      <c r="K14" s="119"/>
      <c r="M14" s="550"/>
      <c r="N14" s="551"/>
      <c r="O14" s="559"/>
      <c r="P14" s="560"/>
      <c r="Q14" s="552"/>
    </row>
    <row r="15" spans="1:17" ht="13" thickBot="1">
      <c r="A15" s="114"/>
      <c r="B15" s="13"/>
      <c r="C15" s="12"/>
      <c r="D15" s="561" t="s">
        <v>579</v>
      </c>
      <c r="E15" s="562">
        <f>VLOOKUP(CONCATENATE("Collateral_",D15),Assets_Daten,3,0)</f>
        <v>1122788077.0800011</v>
      </c>
      <c r="F15" s="563">
        <f>E15/$E$16</f>
        <v>0.9920868510928994</v>
      </c>
      <c r="G15" s="564">
        <f>VLOOKUP(CONCATENATE("Collateral_",D15),Assets_Daten,2,0)</f>
        <v>68229</v>
      </c>
      <c r="H15" s="565">
        <f>G15/$G$16</f>
        <v>0.99536084730185126</v>
      </c>
      <c r="I15" s="111"/>
      <c r="K15" s="119"/>
      <c r="M15" s="550"/>
      <c r="N15" s="551"/>
      <c r="O15" s="559"/>
      <c r="P15" s="560"/>
      <c r="Q15" s="552"/>
    </row>
    <row r="16" spans="1:17" ht="14" thickTop="1" thickBot="1">
      <c r="A16" s="114"/>
      <c r="B16" s="13"/>
      <c r="C16" s="12"/>
      <c r="D16" s="465" t="s">
        <v>36</v>
      </c>
      <c r="E16" s="482">
        <f>SUM(E14:E15)</f>
        <v>1131743733.7700012</v>
      </c>
      <c r="F16" s="789">
        <f t="shared" ref="F16:H16" si="0">SUM(F14:F15)</f>
        <v>1</v>
      </c>
      <c r="G16" s="484">
        <f t="shared" si="0"/>
        <v>68547</v>
      </c>
      <c r="H16" s="790">
        <f t="shared" si="0"/>
        <v>1</v>
      </c>
      <c r="I16" s="111"/>
      <c r="K16" s="119"/>
      <c r="M16" s="32"/>
      <c r="N16" s="436"/>
      <c r="O16" s="566"/>
      <c r="P16" s="437"/>
      <c r="Q16" s="504"/>
    </row>
    <row r="17" spans="1:17">
      <c r="A17" s="114"/>
      <c r="B17" s="13"/>
      <c r="C17" s="12"/>
      <c r="I17" s="111"/>
      <c r="K17" s="119"/>
    </row>
    <row r="18" spans="1:17">
      <c r="A18" s="114"/>
      <c r="B18" s="13"/>
      <c r="C18" s="12"/>
      <c r="E18" s="220"/>
      <c r="G18" s="506"/>
      <c r="I18" s="111"/>
      <c r="K18" s="119"/>
      <c r="N18" s="220"/>
      <c r="P18" s="506"/>
    </row>
    <row r="19" spans="1:17">
      <c r="A19" s="114"/>
      <c r="B19" s="13"/>
      <c r="C19" s="12"/>
      <c r="I19" s="111"/>
      <c r="K19" s="119"/>
    </row>
    <row r="20" spans="1:17">
      <c r="A20" s="114"/>
      <c r="B20" s="13"/>
      <c r="C20" s="12"/>
      <c r="I20" s="111"/>
      <c r="K20" s="119"/>
    </row>
    <row r="21" spans="1:17">
      <c r="A21" s="114"/>
      <c r="B21" s="13"/>
      <c r="C21" s="12"/>
      <c r="I21" s="111"/>
      <c r="K21" s="119"/>
    </row>
    <row r="22" spans="1:17">
      <c r="A22" s="114"/>
      <c r="B22" s="13"/>
      <c r="C22" s="12"/>
      <c r="I22" s="111"/>
      <c r="K22" s="119"/>
    </row>
    <row r="23" spans="1:17">
      <c r="A23" s="114"/>
      <c r="B23" s="13"/>
      <c r="C23" s="12"/>
      <c r="I23" s="111"/>
      <c r="K23" s="119"/>
    </row>
    <row r="24" spans="1:17">
      <c r="A24" s="114"/>
      <c r="B24" s="13"/>
      <c r="C24" s="12"/>
      <c r="I24" s="111"/>
      <c r="K24" s="119"/>
    </row>
    <row r="25" spans="1:17">
      <c r="A25" s="114"/>
      <c r="B25" s="13"/>
      <c r="C25" s="12"/>
      <c r="I25" s="111"/>
      <c r="K25" s="119"/>
    </row>
    <row r="26" spans="1:17">
      <c r="A26" s="114"/>
      <c r="B26" s="13"/>
      <c r="C26" s="12"/>
      <c r="I26" s="111"/>
      <c r="K26" s="119"/>
    </row>
    <row r="27" spans="1:17">
      <c r="A27" s="114"/>
      <c r="B27" s="13"/>
      <c r="C27" s="12"/>
      <c r="I27" s="111"/>
      <c r="K27" s="119"/>
    </row>
    <row r="28" spans="1:17">
      <c r="A28" s="114"/>
      <c r="B28" s="13"/>
      <c r="C28" s="12"/>
      <c r="D28" s="567"/>
      <c r="E28" s="568"/>
      <c r="F28" s="569"/>
      <c r="G28" s="570"/>
      <c r="H28" s="569"/>
      <c r="I28" s="111"/>
      <c r="K28" s="119"/>
      <c r="M28" s="567"/>
      <c r="N28" s="568"/>
      <c r="O28" s="569"/>
      <c r="P28" s="570"/>
      <c r="Q28" s="569"/>
    </row>
    <row r="29" spans="1:17">
      <c r="A29" s="114"/>
      <c r="B29" s="13"/>
      <c r="C29" s="12"/>
      <c r="D29" s="567"/>
      <c r="E29" s="568"/>
      <c r="F29" s="569"/>
      <c r="G29" s="570"/>
      <c r="H29" s="569"/>
      <c r="I29" s="111"/>
      <c r="K29" s="119"/>
      <c r="M29" s="567"/>
      <c r="N29" s="568"/>
      <c r="O29" s="569"/>
      <c r="P29" s="570"/>
      <c r="Q29" s="569"/>
    </row>
    <row r="30" spans="1:17">
      <c r="A30" s="114"/>
      <c r="B30" s="13"/>
      <c r="C30" s="12"/>
      <c r="D30" s="567"/>
      <c r="E30" s="568"/>
      <c r="F30" s="569"/>
      <c r="G30" s="570"/>
      <c r="H30" s="569"/>
      <c r="I30" s="111"/>
      <c r="K30" s="119"/>
      <c r="M30" s="567"/>
      <c r="N30" s="568"/>
      <c r="O30" s="569"/>
      <c r="P30" s="570"/>
      <c r="Q30" s="569"/>
    </row>
    <row r="31" spans="1:17">
      <c r="A31" s="114"/>
      <c r="B31" s="13"/>
      <c r="C31" s="12"/>
      <c r="D31" s="567"/>
      <c r="E31" s="568"/>
      <c r="F31" s="569"/>
      <c r="G31" s="570"/>
      <c r="H31" s="569"/>
      <c r="I31" s="111"/>
      <c r="K31" s="119"/>
      <c r="M31" s="567"/>
      <c r="N31" s="568"/>
      <c r="O31" s="569"/>
      <c r="P31" s="570"/>
      <c r="Q31" s="569"/>
    </row>
    <row r="32" spans="1:17">
      <c r="A32" s="114"/>
      <c r="B32" s="13"/>
      <c r="C32" s="12"/>
      <c r="D32" s="567"/>
      <c r="E32" s="568"/>
      <c r="F32" s="569"/>
      <c r="G32" s="570"/>
      <c r="H32" s="569"/>
      <c r="I32" s="111"/>
      <c r="K32" s="119"/>
      <c r="M32" s="567"/>
      <c r="N32" s="568"/>
      <c r="O32" s="569"/>
      <c r="P32" s="570"/>
      <c r="Q32" s="569"/>
    </row>
    <row r="33" spans="1:17">
      <c r="A33" s="114"/>
      <c r="B33" s="13"/>
      <c r="C33" s="12"/>
      <c r="D33" s="567"/>
      <c r="E33" s="568"/>
      <c r="F33" s="569"/>
      <c r="G33" s="570"/>
      <c r="H33" s="569"/>
      <c r="I33" s="111"/>
      <c r="K33" s="119"/>
      <c r="M33" s="567"/>
      <c r="N33" s="568"/>
      <c r="O33" s="569"/>
      <c r="P33" s="570"/>
      <c r="Q33" s="569"/>
    </row>
    <row r="34" spans="1:17">
      <c r="A34" s="114"/>
      <c r="B34" s="13"/>
      <c r="C34" s="12"/>
      <c r="D34" s="567"/>
      <c r="E34" s="568"/>
      <c r="F34" s="569"/>
      <c r="G34" s="570"/>
      <c r="H34" s="569"/>
      <c r="I34" s="111"/>
      <c r="K34" s="119"/>
      <c r="M34" s="567"/>
      <c r="N34" s="568"/>
      <c r="O34" s="569"/>
      <c r="P34" s="570"/>
      <c r="Q34" s="569"/>
    </row>
    <row r="35" spans="1:17">
      <c r="A35" s="114"/>
      <c r="B35" s="13"/>
      <c r="C35" s="12"/>
      <c r="D35" s="567"/>
      <c r="E35" s="568"/>
      <c r="F35" s="569"/>
      <c r="G35" s="570"/>
      <c r="H35" s="569"/>
      <c r="I35" s="111"/>
      <c r="K35" s="119"/>
      <c r="M35" s="567"/>
      <c r="N35" s="568"/>
      <c r="O35" s="569"/>
      <c r="P35" s="570"/>
      <c r="Q35" s="569"/>
    </row>
    <row r="36" spans="1:17">
      <c r="A36" s="114"/>
      <c r="B36" s="13"/>
      <c r="C36" s="12"/>
      <c r="D36" s="567"/>
      <c r="E36" s="568"/>
      <c r="F36" s="569"/>
      <c r="G36" s="570"/>
      <c r="H36" s="569"/>
      <c r="I36" s="111"/>
      <c r="K36" s="119"/>
      <c r="M36" s="567"/>
      <c r="N36" s="568"/>
      <c r="O36" s="569"/>
      <c r="P36" s="570"/>
      <c r="Q36" s="569"/>
    </row>
    <row r="37" spans="1:17">
      <c r="A37" s="114"/>
      <c r="B37" s="13"/>
      <c r="C37" s="12"/>
      <c r="D37" s="567"/>
      <c r="E37" s="568"/>
      <c r="F37" s="569"/>
      <c r="G37" s="570"/>
      <c r="H37" s="569"/>
      <c r="I37" s="111"/>
      <c r="K37" s="119"/>
      <c r="M37" s="567"/>
      <c r="N37" s="568"/>
      <c r="O37" s="569"/>
      <c r="P37" s="570"/>
      <c r="Q37" s="569"/>
    </row>
    <row r="38" spans="1:17">
      <c r="A38" s="114"/>
      <c r="B38" s="13"/>
      <c r="C38" s="12"/>
      <c r="D38" s="567"/>
      <c r="E38" s="568"/>
      <c r="F38" s="569"/>
      <c r="G38" s="570"/>
      <c r="H38" s="569"/>
      <c r="I38" s="111"/>
      <c r="K38" s="119"/>
      <c r="M38" s="567"/>
      <c r="N38" s="568"/>
      <c r="O38" s="569"/>
      <c r="P38" s="570"/>
      <c r="Q38" s="569"/>
    </row>
    <row r="39" spans="1:17">
      <c r="A39" s="114"/>
      <c r="B39" s="13"/>
      <c r="C39" s="12"/>
      <c r="D39" s="567"/>
      <c r="E39" s="568"/>
      <c r="F39" s="569"/>
      <c r="G39" s="570"/>
      <c r="H39" s="569"/>
      <c r="I39" s="111"/>
      <c r="K39" s="119"/>
      <c r="M39" s="567"/>
      <c r="N39" s="568"/>
      <c r="O39" s="569"/>
      <c r="P39" s="570"/>
      <c r="Q39" s="569"/>
    </row>
    <row r="40" spans="1:17">
      <c r="A40" s="114"/>
      <c r="B40" s="13"/>
      <c r="C40" s="12"/>
      <c r="D40" s="567"/>
      <c r="E40" s="568"/>
      <c r="F40" s="569"/>
      <c r="G40" s="570"/>
      <c r="H40" s="569"/>
      <c r="I40" s="111"/>
      <c r="K40" s="119"/>
      <c r="M40" s="567"/>
      <c r="N40" s="568"/>
      <c r="O40" s="569"/>
      <c r="P40" s="570"/>
      <c r="Q40" s="569"/>
    </row>
    <row r="41" spans="1:17">
      <c r="A41" s="114"/>
      <c r="B41" s="13"/>
      <c r="C41" s="12"/>
      <c r="D41" s="567"/>
      <c r="E41" s="568"/>
      <c r="F41" s="569"/>
      <c r="G41" s="570"/>
      <c r="H41" s="569"/>
      <c r="I41" s="111"/>
      <c r="K41" s="119"/>
      <c r="M41" s="567"/>
      <c r="N41" s="568"/>
      <c r="O41" s="569"/>
      <c r="P41" s="570"/>
      <c r="Q41" s="569"/>
    </row>
    <row r="42" spans="1:17">
      <c r="A42" s="114"/>
      <c r="B42" s="13"/>
      <c r="C42" s="12"/>
      <c r="D42" s="567"/>
      <c r="E42" s="568"/>
      <c r="F42" s="569"/>
      <c r="G42" s="570"/>
      <c r="H42" s="569"/>
      <c r="I42" s="111"/>
      <c r="K42" s="119"/>
      <c r="M42" s="567"/>
      <c r="N42" s="568"/>
      <c r="O42" s="569"/>
      <c r="P42" s="570"/>
      <c r="Q42" s="569"/>
    </row>
    <row r="43" spans="1:17">
      <c r="A43" s="114"/>
      <c r="B43" s="13"/>
      <c r="C43" s="12"/>
      <c r="D43" s="567"/>
      <c r="E43" s="568"/>
      <c r="F43" s="569"/>
      <c r="G43" s="570"/>
      <c r="H43" s="569"/>
      <c r="I43" s="111"/>
      <c r="K43" s="119"/>
      <c r="M43" s="567"/>
      <c r="N43" s="568"/>
      <c r="O43" s="569"/>
      <c r="P43" s="570"/>
      <c r="Q43" s="569"/>
    </row>
    <row r="44" spans="1:17">
      <c r="A44" s="114"/>
      <c r="B44" s="13"/>
      <c r="C44" s="12"/>
      <c r="D44" s="567"/>
      <c r="E44" s="568"/>
      <c r="F44" s="569"/>
      <c r="G44" s="570"/>
      <c r="H44" s="569"/>
      <c r="I44" s="111"/>
      <c r="K44" s="119"/>
      <c r="M44" s="567"/>
      <c r="N44" s="568"/>
      <c r="O44" s="569"/>
      <c r="P44" s="570"/>
      <c r="Q44" s="569"/>
    </row>
    <row r="45" spans="1:17">
      <c r="A45" s="114"/>
      <c r="B45" s="13"/>
      <c r="C45" s="12"/>
      <c r="D45" s="567"/>
      <c r="E45" s="568"/>
      <c r="F45" s="569"/>
      <c r="G45" s="570"/>
      <c r="H45" s="569"/>
      <c r="I45" s="111"/>
      <c r="K45" s="119"/>
      <c r="M45" s="567"/>
      <c r="N45" s="568"/>
      <c r="O45" s="569"/>
      <c r="P45" s="570"/>
      <c r="Q45" s="569"/>
    </row>
    <row r="46" spans="1:17">
      <c r="A46" s="114"/>
      <c r="B46" s="13"/>
      <c r="C46" s="12"/>
      <c r="D46" s="567"/>
      <c r="E46" s="568"/>
      <c r="F46" s="569"/>
      <c r="G46" s="570"/>
      <c r="H46" s="569"/>
      <c r="I46" s="111"/>
      <c r="K46" s="119"/>
      <c r="M46" s="567"/>
      <c r="N46" s="568"/>
      <c r="O46" s="569"/>
      <c r="P46" s="570"/>
      <c r="Q46" s="569"/>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453125" style="18" customWidth="1"/>
    <col min="4" max="4" width="22.4531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146</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
      <c r="A13" s="114"/>
      <c r="B13" s="168"/>
      <c r="C13" s="168"/>
      <c r="D13" s="441" t="s">
        <v>112</v>
      </c>
      <c r="E13" s="470" t="s">
        <v>95</v>
      </c>
      <c r="F13" s="442" t="s">
        <v>114</v>
      </c>
      <c r="G13" s="443" t="s">
        <v>62</v>
      </c>
      <c r="H13" s="471" t="s">
        <v>115</v>
      </c>
      <c r="I13" s="111"/>
      <c r="K13" s="119"/>
      <c r="M13" s="201"/>
      <c r="N13" s="204"/>
      <c r="O13" s="202"/>
      <c r="P13" s="439"/>
      <c r="Q13" s="439"/>
    </row>
    <row r="14" spans="1:17" ht="13.5" customHeight="1">
      <c r="A14" s="114"/>
      <c r="B14" s="13"/>
      <c r="C14" s="12"/>
      <c r="D14" s="537" t="s">
        <v>63</v>
      </c>
      <c r="E14" s="538">
        <f>VLOOKUP(CONCATENATE("Insurance_",D14),Assets_Daten,3,0)</f>
        <v>285507223.05999935</v>
      </c>
      <c r="F14" s="539">
        <f>E14/$E$16</f>
        <v>0.25227197159637321</v>
      </c>
      <c r="G14" s="540">
        <f>VLOOKUP(CONCATENATE("Insurance_",D14),Assets_Daten,2,0)</f>
        <v>23017</v>
      </c>
      <c r="H14" s="541">
        <f>G14/$G$16</f>
        <v>0.33578420645688362</v>
      </c>
      <c r="I14" s="111"/>
      <c r="K14" s="119"/>
      <c r="M14" s="542"/>
      <c r="N14" s="543"/>
      <c r="O14" s="544"/>
      <c r="P14" s="545"/>
      <c r="Q14" s="544"/>
    </row>
    <row r="15" spans="1:17" ht="13" thickBot="1">
      <c r="A15" s="114"/>
      <c r="B15" s="13"/>
      <c r="C15" s="12"/>
      <c r="D15" s="546" t="s">
        <v>580</v>
      </c>
      <c r="E15" s="547">
        <f>VLOOKUP(CONCATENATE("Insurance_",D15),Assets_Daten,3,0)</f>
        <v>846236510.71000278</v>
      </c>
      <c r="F15" s="539">
        <f>E15/$E$16</f>
        <v>0.74772802840362673</v>
      </c>
      <c r="G15" s="548">
        <f>VLOOKUP(CONCATENATE("Insurance_",D15),Assets_Daten,2,0)</f>
        <v>45530</v>
      </c>
      <c r="H15" s="541">
        <f>G15/$G$16</f>
        <v>0.66421579354311644</v>
      </c>
      <c r="I15" s="111"/>
      <c r="K15" s="119"/>
      <c r="M15" s="542"/>
      <c r="N15" s="543"/>
      <c r="O15" s="544"/>
      <c r="P15" s="545"/>
      <c r="Q15" s="544"/>
    </row>
    <row r="16" spans="1:17" ht="14" thickTop="1" thickBot="1">
      <c r="A16" s="114"/>
      <c r="B16" s="13"/>
      <c r="C16" s="12"/>
      <c r="D16" s="526" t="s">
        <v>36</v>
      </c>
      <c r="E16" s="785">
        <f>SUM(E14:E15)</f>
        <v>1131743733.7700021</v>
      </c>
      <c r="F16" s="791">
        <f t="shared" ref="F16:H16" si="0">SUM(F14:F15)</f>
        <v>1</v>
      </c>
      <c r="G16" s="787">
        <f t="shared" si="0"/>
        <v>68547</v>
      </c>
      <c r="H16" s="792">
        <f t="shared" si="0"/>
        <v>1</v>
      </c>
      <c r="I16" s="111"/>
      <c r="K16" s="119"/>
      <c r="M16" s="527"/>
      <c r="N16" s="528"/>
      <c r="O16" s="529"/>
      <c r="P16" s="530"/>
      <c r="Q16" s="529"/>
    </row>
    <row r="17" spans="1:17">
      <c r="A17" s="114"/>
      <c r="B17" s="13"/>
      <c r="C17" s="12"/>
      <c r="D17" s="187"/>
      <c r="E17" s="188"/>
      <c r="F17" s="549"/>
      <c r="G17" s="190"/>
      <c r="H17" s="549"/>
      <c r="I17" s="111"/>
      <c r="K17" s="119"/>
      <c r="M17" s="187"/>
      <c r="N17" s="188"/>
      <c r="O17" s="549"/>
      <c r="P17" s="190"/>
      <c r="Q17" s="549"/>
    </row>
    <row r="18" spans="1:17">
      <c r="A18" s="114"/>
      <c r="B18" s="13"/>
      <c r="C18" s="12"/>
      <c r="D18" s="187"/>
      <c r="E18" s="188"/>
      <c r="F18" s="549"/>
      <c r="G18" s="190"/>
      <c r="H18" s="549"/>
      <c r="I18" s="111"/>
      <c r="K18" s="119"/>
      <c r="M18" s="187"/>
      <c r="N18" s="188"/>
      <c r="O18" s="549"/>
      <c r="P18" s="190"/>
      <c r="Q18" s="549"/>
    </row>
    <row r="19" spans="1:17">
      <c r="A19" s="114"/>
      <c r="B19" s="13"/>
      <c r="C19" s="12"/>
      <c r="D19" s="187"/>
      <c r="E19" s="188"/>
      <c r="F19" s="549"/>
      <c r="G19" s="190"/>
      <c r="H19" s="549"/>
      <c r="I19" s="111"/>
      <c r="K19" s="119"/>
      <c r="M19" s="187"/>
      <c r="N19" s="188"/>
      <c r="O19" s="549"/>
      <c r="P19" s="190"/>
      <c r="Q19" s="549"/>
    </row>
    <row r="20" spans="1:17">
      <c r="A20" s="114"/>
      <c r="B20" s="13"/>
      <c r="C20" s="12"/>
      <c r="D20" s="187"/>
      <c r="E20" s="188"/>
      <c r="F20" s="549"/>
      <c r="G20" s="190"/>
      <c r="H20" s="549"/>
      <c r="I20" s="111"/>
      <c r="K20" s="119"/>
      <c r="M20" s="187"/>
      <c r="N20" s="188"/>
      <c r="O20" s="549"/>
      <c r="P20" s="190"/>
      <c r="Q20" s="549"/>
    </row>
    <row r="21" spans="1:17">
      <c r="A21" s="114"/>
      <c r="B21" s="13"/>
      <c r="C21" s="12"/>
      <c r="E21" s="188"/>
      <c r="F21" s="549"/>
      <c r="G21" s="190"/>
      <c r="H21" s="549"/>
      <c r="I21" s="111"/>
      <c r="K21" s="119"/>
      <c r="M21" s="187"/>
      <c r="N21" s="188"/>
      <c r="O21" s="549"/>
      <c r="P21" s="190"/>
      <c r="Q21" s="549"/>
    </row>
    <row r="22" spans="1:17">
      <c r="A22" s="114"/>
      <c r="B22" s="13"/>
      <c r="C22" s="12"/>
      <c r="D22" s="187"/>
      <c r="E22" s="188"/>
      <c r="F22" s="549"/>
      <c r="G22" s="190"/>
      <c r="H22" s="549"/>
      <c r="I22" s="111"/>
      <c r="K22" s="119"/>
      <c r="M22" s="187"/>
      <c r="N22" s="188"/>
      <c r="O22" s="549"/>
      <c r="P22" s="190"/>
      <c r="Q22" s="549"/>
    </row>
    <row r="23" spans="1:17">
      <c r="A23" s="114"/>
      <c r="B23" s="13"/>
      <c r="C23" s="12"/>
      <c r="D23" s="187"/>
      <c r="E23" s="188"/>
      <c r="F23" s="549"/>
      <c r="G23" s="190"/>
      <c r="H23" s="549"/>
      <c r="I23" s="111"/>
      <c r="K23" s="119"/>
      <c r="M23" s="187"/>
      <c r="N23" s="188"/>
      <c r="O23" s="549"/>
      <c r="P23" s="190"/>
      <c r="Q23" s="549"/>
    </row>
    <row r="24" spans="1:17">
      <c r="A24" s="114"/>
      <c r="B24" s="13"/>
      <c r="C24" s="12"/>
      <c r="D24" s="187"/>
      <c r="E24" s="188"/>
      <c r="F24" s="549"/>
      <c r="G24" s="190"/>
      <c r="H24" s="549"/>
      <c r="I24" s="111"/>
      <c r="K24" s="119"/>
      <c r="M24" s="187"/>
      <c r="N24" s="188"/>
      <c r="O24" s="549"/>
      <c r="P24" s="190"/>
      <c r="Q24" s="549"/>
    </row>
    <row r="25" spans="1:17">
      <c r="A25" s="114"/>
      <c r="B25" s="13"/>
      <c r="C25" s="12"/>
      <c r="D25" s="550"/>
      <c r="E25" s="551"/>
      <c r="F25" s="552"/>
      <c r="G25" s="553"/>
      <c r="H25" s="552"/>
      <c r="I25" s="111"/>
      <c r="K25" s="119"/>
      <c r="M25" s="550"/>
      <c r="N25" s="551"/>
      <c r="O25" s="552"/>
      <c r="P25" s="553"/>
      <c r="Q25" s="552"/>
    </row>
    <row r="26" spans="1:17">
      <c r="A26" s="114"/>
      <c r="B26" s="13"/>
      <c r="C26" s="12"/>
      <c r="D26" s="550"/>
      <c r="E26" s="551"/>
      <c r="F26" s="552"/>
      <c r="G26" s="553"/>
      <c r="H26" s="552"/>
      <c r="I26" s="111"/>
      <c r="K26" s="119"/>
      <c r="M26" s="550"/>
      <c r="N26" s="551"/>
      <c r="O26" s="552"/>
      <c r="P26" s="553"/>
      <c r="Q26" s="552"/>
    </row>
    <row r="27" spans="1:17">
      <c r="A27" s="114"/>
      <c r="B27" s="13"/>
      <c r="C27" s="12"/>
      <c r="D27" s="550"/>
      <c r="E27" s="551"/>
      <c r="F27" s="552"/>
      <c r="G27" s="553"/>
      <c r="H27" s="552"/>
      <c r="I27" s="111"/>
      <c r="K27" s="119"/>
      <c r="M27" s="550"/>
      <c r="N27" s="551"/>
      <c r="O27" s="552"/>
      <c r="P27" s="553"/>
      <c r="Q27" s="552"/>
    </row>
    <row r="28" spans="1:17">
      <c r="A28" s="114"/>
      <c r="B28" s="13"/>
      <c r="C28" s="12"/>
      <c r="D28" s="550"/>
      <c r="E28" s="551"/>
      <c r="F28" s="552"/>
      <c r="G28" s="553"/>
      <c r="H28" s="552"/>
      <c r="I28" s="111"/>
      <c r="K28" s="119"/>
      <c r="M28" s="550"/>
      <c r="N28" s="551"/>
      <c r="O28" s="552"/>
      <c r="P28" s="553"/>
      <c r="Q28" s="552"/>
    </row>
    <row r="29" spans="1:17">
      <c r="A29" s="114"/>
      <c r="B29" s="13"/>
      <c r="C29" s="12"/>
      <c r="D29" s="550"/>
      <c r="E29" s="551"/>
      <c r="F29" s="552"/>
      <c r="G29" s="553"/>
      <c r="H29" s="552"/>
      <c r="I29" s="111"/>
      <c r="K29" s="119"/>
      <c r="M29" s="550"/>
      <c r="N29" s="551"/>
      <c r="O29" s="552"/>
      <c r="P29" s="553"/>
      <c r="Q29" s="552"/>
    </row>
    <row r="30" spans="1:17">
      <c r="A30" s="114"/>
      <c r="B30" s="13"/>
      <c r="C30" s="12"/>
      <c r="D30" s="550"/>
      <c r="E30" s="551"/>
      <c r="F30" s="552"/>
      <c r="G30" s="553"/>
      <c r="H30" s="552"/>
      <c r="I30" s="111"/>
      <c r="K30" s="119"/>
      <c r="M30" s="550"/>
      <c r="N30" s="551"/>
      <c r="O30" s="552"/>
      <c r="P30" s="553"/>
      <c r="Q30" s="552"/>
    </row>
    <row r="31" spans="1:17">
      <c r="A31" s="114"/>
      <c r="B31" s="13"/>
      <c r="C31" s="12"/>
      <c r="D31" s="550"/>
      <c r="E31" s="551"/>
      <c r="F31" s="552"/>
      <c r="G31" s="553"/>
      <c r="H31" s="552"/>
      <c r="I31" s="111"/>
      <c r="K31" s="119"/>
      <c r="M31" s="550"/>
      <c r="N31" s="551"/>
      <c r="O31" s="552"/>
      <c r="P31" s="553"/>
      <c r="Q31" s="552"/>
    </row>
    <row r="32" spans="1:17">
      <c r="A32" s="114"/>
      <c r="B32" s="13"/>
      <c r="C32" s="12"/>
      <c r="D32" s="550"/>
      <c r="E32" s="551"/>
      <c r="F32" s="552"/>
      <c r="G32" s="553"/>
      <c r="H32" s="552"/>
      <c r="I32" s="111"/>
      <c r="K32" s="119"/>
      <c r="M32" s="550"/>
      <c r="N32" s="551"/>
      <c r="O32" s="552"/>
      <c r="P32" s="553"/>
      <c r="Q32" s="552"/>
    </row>
    <row r="33" spans="1:17">
      <c r="A33" s="114"/>
      <c r="B33" s="13"/>
      <c r="C33" s="12"/>
      <c r="D33" s="550"/>
      <c r="E33" s="551"/>
      <c r="F33" s="552"/>
      <c r="G33" s="553"/>
      <c r="H33" s="552"/>
      <c r="I33" s="111"/>
      <c r="K33" s="119"/>
      <c r="M33" s="550"/>
      <c r="N33" s="551"/>
      <c r="O33" s="552"/>
      <c r="P33" s="553"/>
      <c r="Q33" s="552"/>
    </row>
    <row r="34" spans="1:17">
      <c r="A34" s="114"/>
      <c r="B34" s="13"/>
      <c r="C34" s="12"/>
      <c r="D34" s="550"/>
      <c r="E34" s="551"/>
      <c r="F34" s="552"/>
      <c r="G34" s="553"/>
      <c r="H34" s="552"/>
      <c r="I34" s="111"/>
      <c r="K34" s="119"/>
      <c r="M34" s="550"/>
      <c r="N34" s="551"/>
      <c r="O34" s="552"/>
      <c r="P34" s="553"/>
      <c r="Q34" s="552"/>
    </row>
    <row r="35" spans="1:17">
      <c r="A35" s="114"/>
      <c r="B35" s="13"/>
      <c r="C35" s="12"/>
      <c r="D35" s="550"/>
      <c r="E35" s="551"/>
      <c r="F35" s="552"/>
      <c r="G35" s="553"/>
      <c r="H35" s="552"/>
      <c r="I35" s="111"/>
      <c r="K35" s="119"/>
      <c r="M35" s="550"/>
      <c r="N35" s="551"/>
      <c r="O35" s="552"/>
      <c r="P35" s="553"/>
      <c r="Q35" s="552"/>
    </row>
    <row r="36" spans="1:17">
      <c r="A36" s="114"/>
      <c r="B36" s="13"/>
      <c r="C36" s="12"/>
      <c r="D36" s="550"/>
      <c r="E36" s="551"/>
      <c r="F36" s="552"/>
      <c r="G36" s="553"/>
      <c r="H36" s="552"/>
      <c r="I36" s="111"/>
      <c r="K36" s="119"/>
      <c r="M36" s="550"/>
      <c r="N36" s="551"/>
      <c r="O36" s="552"/>
      <c r="P36" s="553"/>
      <c r="Q36" s="552"/>
    </row>
    <row r="37" spans="1:17">
      <c r="A37" s="114"/>
      <c r="B37" s="13"/>
      <c r="C37" s="12"/>
      <c r="D37" s="550"/>
      <c r="E37" s="551"/>
      <c r="F37" s="552"/>
      <c r="G37" s="553"/>
      <c r="H37" s="552"/>
      <c r="I37" s="111"/>
      <c r="K37" s="119"/>
      <c r="M37" s="550"/>
      <c r="N37" s="551"/>
      <c r="O37" s="552"/>
      <c r="P37" s="553"/>
      <c r="Q37" s="552"/>
    </row>
    <row r="38" spans="1:17">
      <c r="A38" s="114"/>
      <c r="B38" s="13"/>
      <c r="C38" s="12"/>
      <c r="D38" s="550"/>
      <c r="E38" s="551"/>
      <c r="F38" s="552"/>
      <c r="G38" s="553"/>
      <c r="H38" s="552"/>
      <c r="I38" s="111"/>
      <c r="K38" s="119"/>
      <c r="M38" s="550"/>
      <c r="N38" s="551"/>
      <c r="O38" s="552"/>
      <c r="P38" s="553"/>
      <c r="Q38" s="552"/>
    </row>
    <row r="39" spans="1:17">
      <c r="A39" s="114"/>
      <c r="B39" s="13"/>
      <c r="C39" s="12"/>
      <c r="D39" s="550"/>
      <c r="E39" s="551"/>
      <c r="F39" s="552"/>
      <c r="G39" s="553"/>
      <c r="H39" s="552"/>
      <c r="I39" s="111"/>
      <c r="K39" s="119"/>
      <c r="M39" s="550"/>
      <c r="N39" s="551"/>
      <c r="O39" s="552"/>
      <c r="P39" s="553"/>
      <c r="Q39" s="552"/>
    </row>
    <row r="40" spans="1:17">
      <c r="A40" s="114"/>
      <c r="B40" s="13"/>
      <c r="C40" s="12"/>
      <c r="D40" s="550"/>
      <c r="E40" s="551"/>
      <c r="F40" s="552"/>
      <c r="G40" s="553"/>
      <c r="H40" s="552"/>
      <c r="I40" s="111"/>
      <c r="K40" s="119"/>
      <c r="M40" s="550"/>
      <c r="N40" s="551"/>
      <c r="O40" s="552"/>
      <c r="P40" s="553"/>
      <c r="Q40" s="552"/>
    </row>
    <row r="41" spans="1:17">
      <c r="A41" s="114"/>
      <c r="B41" s="13"/>
      <c r="C41" s="12"/>
      <c r="D41" s="550"/>
      <c r="E41" s="551"/>
      <c r="F41" s="552"/>
      <c r="G41" s="553"/>
      <c r="H41" s="552"/>
      <c r="I41" s="111"/>
      <c r="K41" s="119"/>
      <c r="M41" s="550"/>
      <c r="N41" s="551"/>
      <c r="O41" s="552"/>
      <c r="P41" s="553"/>
      <c r="Q41" s="552"/>
    </row>
    <row r="42" spans="1:17">
      <c r="A42" s="114"/>
      <c r="B42" s="13"/>
      <c r="C42" s="12"/>
      <c r="D42" s="550"/>
      <c r="E42" s="551"/>
      <c r="F42" s="552"/>
      <c r="G42" s="553"/>
      <c r="H42" s="552"/>
      <c r="I42" s="111"/>
      <c r="K42" s="119"/>
      <c r="M42" s="550"/>
      <c r="N42" s="551"/>
      <c r="O42" s="552"/>
      <c r="P42" s="553"/>
      <c r="Q42" s="552"/>
    </row>
    <row r="43" spans="1:17">
      <c r="A43" s="114"/>
      <c r="B43" s="13"/>
      <c r="C43" s="12"/>
      <c r="D43" s="550"/>
      <c r="E43" s="551"/>
      <c r="F43" s="552"/>
      <c r="G43" s="553"/>
      <c r="H43" s="552"/>
      <c r="I43" s="111"/>
      <c r="K43" s="119"/>
      <c r="M43" s="550"/>
      <c r="N43" s="551"/>
      <c r="O43" s="552"/>
      <c r="P43" s="553"/>
      <c r="Q43" s="552"/>
    </row>
    <row r="44" spans="1:17">
      <c r="A44" s="114"/>
      <c r="B44" s="13"/>
      <c r="C44" s="12"/>
      <c r="D44" s="550"/>
      <c r="E44" s="551"/>
      <c r="F44" s="552"/>
      <c r="G44" s="553"/>
      <c r="H44" s="552"/>
      <c r="I44" s="111"/>
      <c r="K44" s="119"/>
      <c r="M44" s="550"/>
      <c r="N44" s="551"/>
      <c r="O44" s="552"/>
      <c r="P44" s="553"/>
      <c r="Q44" s="552"/>
    </row>
    <row r="45" spans="1:17">
      <c r="A45" s="114"/>
      <c r="B45" s="13"/>
      <c r="C45" s="12"/>
      <c r="D45" s="550"/>
      <c r="E45" s="551"/>
      <c r="F45" s="552"/>
      <c r="G45" s="553"/>
      <c r="H45" s="552"/>
      <c r="I45" s="111"/>
      <c r="K45" s="119"/>
      <c r="M45" s="550"/>
      <c r="N45" s="551"/>
      <c r="O45" s="552"/>
      <c r="P45" s="553"/>
      <c r="Q45" s="552"/>
    </row>
    <row r="46" spans="1:17">
      <c r="A46" s="114"/>
      <c r="B46" s="13"/>
      <c r="C46" s="12"/>
      <c r="D46" s="550"/>
      <c r="E46" s="551"/>
      <c r="F46" s="552"/>
      <c r="G46" s="553"/>
      <c r="H46" s="552"/>
      <c r="I46" s="111"/>
      <c r="K46" s="119"/>
      <c r="M46" s="550"/>
      <c r="N46" s="551"/>
      <c r="O46" s="552"/>
      <c r="P46" s="553"/>
      <c r="Q46" s="552"/>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50.81640625" style="18" customWidth="1"/>
    <col min="3" max="3" width="18" style="18" customWidth="1"/>
    <col min="4" max="4" width="18.81640625" style="18" customWidth="1"/>
    <col min="5" max="5" width="8.81640625" style="18" customWidth="1"/>
    <col min="6" max="6" width="18.81640625" style="18" customWidth="1"/>
    <col min="7" max="7" width="4.81640625" style="18" customWidth="1"/>
    <col min="8" max="8" width="18.81640625" style="18" customWidth="1"/>
    <col min="9" max="9" width="4.81640625" style="18" customWidth="1"/>
    <col min="10" max="10" width="18.81640625" style="18" customWidth="1"/>
    <col min="11" max="11" width="1.1796875" style="18" customWidth="1"/>
    <col min="12" max="16384" width="9.1796875" style="18"/>
  </cols>
  <sheetData>
    <row r="1" spans="1:13" ht="6" customHeight="1">
      <c r="A1" s="112"/>
      <c r="B1" s="44"/>
      <c r="C1" s="44"/>
      <c r="D1" s="44"/>
      <c r="E1" s="44"/>
      <c r="F1" s="44"/>
      <c r="G1" s="44"/>
      <c r="H1" s="44"/>
      <c r="I1" s="44"/>
      <c r="J1" s="44"/>
      <c r="K1" s="113"/>
    </row>
    <row r="2" spans="1:13" ht="18" customHeight="1">
      <c r="A2" s="114"/>
      <c r="B2" s="42" t="s">
        <v>734</v>
      </c>
      <c r="D2" s="115" t="s">
        <v>384</v>
      </c>
      <c r="E2" s="116"/>
      <c r="F2" s="117">
        <f>VLOOKUP("Calculation_Date",calcdata,3,0)</f>
        <v>45911</v>
      </c>
      <c r="G2" s="116"/>
      <c r="H2" s="116"/>
      <c r="I2" s="116"/>
      <c r="J2" s="118"/>
      <c r="K2" s="119"/>
    </row>
    <row r="3" spans="1:13" ht="18" customHeight="1">
      <c r="A3" s="114"/>
      <c r="B3" s="42" t="s">
        <v>0</v>
      </c>
      <c r="C3" s="120"/>
      <c r="D3" s="121" t="s">
        <v>2</v>
      </c>
      <c r="E3" s="122"/>
      <c r="F3" s="123">
        <f>VLOOKUP("Payment_Date",calcdata,3,0)</f>
        <v>45915</v>
      </c>
      <c r="G3" s="122"/>
      <c r="H3" s="122"/>
      <c r="I3" s="122"/>
      <c r="J3" s="124"/>
      <c r="K3" s="119"/>
    </row>
    <row r="4" spans="1:13" ht="12.75" customHeight="1">
      <c r="A4" s="114"/>
      <c r="B4" s="125"/>
      <c r="C4" s="120"/>
      <c r="D4" s="121" t="s">
        <v>3</v>
      </c>
      <c r="E4" s="122"/>
      <c r="F4" s="848">
        <f>VLOOKUP("Period",calcdata,2,0)</f>
        <v>16</v>
      </c>
      <c r="G4" s="122"/>
      <c r="H4" s="127"/>
      <c r="I4" s="122"/>
      <c r="J4" s="128"/>
      <c r="K4" s="119"/>
    </row>
    <row r="5" spans="1:13" ht="18" customHeight="1">
      <c r="A5" s="114"/>
      <c r="B5" s="129" t="s">
        <v>33</v>
      </c>
      <c r="C5" s="120"/>
      <c r="D5" s="121" t="s">
        <v>1</v>
      </c>
      <c r="E5" s="122"/>
      <c r="F5" s="130">
        <f>VLOOKUP("Monthly_Period",calcdata,3,0)</f>
        <v>45915</v>
      </c>
      <c r="G5" s="122"/>
      <c r="H5" s="127"/>
      <c r="I5" s="122"/>
      <c r="J5" s="128"/>
      <c r="K5" s="119"/>
    </row>
    <row r="6" spans="1:13" ht="15" customHeight="1">
      <c r="A6" s="114"/>
      <c r="B6" s="131"/>
      <c r="C6" s="120"/>
      <c r="D6" s="121" t="s">
        <v>51</v>
      </c>
      <c r="E6" s="132" t="s">
        <v>34</v>
      </c>
      <c r="F6" s="123">
        <f>VLOOKUP("Interest_period_from",calcdata,3,0)</f>
        <v>45883</v>
      </c>
      <c r="G6" s="132" t="s">
        <v>4</v>
      </c>
      <c r="H6" s="123">
        <f>F3</f>
        <v>45915</v>
      </c>
      <c r="I6" s="132" t="s">
        <v>15</v>
      </c>
      <c r="J6" s="133" t="str">
        <f>H6-F6&amp;" days"</f>
        <v>32 days</v>
      </c>
      <c r="K6" s="134"/>
      <c r="M6" s="135"/>
    </row>
    <row r="7" spans="1:13">
      <c r="A7" s="114"/>
      <c r="D7" s="136" t="s">
        <v>111</v>
      </c>
      <c r="E7" s="137" t="s">
        <v>34</v>
      </c>
      <c r="F7" s="138" t="str">
        <f>"01."&amp;TEXT(F6,"MM.jjjj")</f>
        <v>01.08.2025</v>
      </c>
      <c r="G7" s="137" t="s">
        <v>4</v>
      </c>
      <c r="H7" s="138">
        <f>EOMONTH(F6,0)</f>
        <v>45900</v>
      </c>
      <c r="I7" s="139"/>
      <c r="J7" s="140"/>
      <c r="K7" s="119"/>
    </row>
    <row r="8" spans="1:13" ht="13">
      <c r="A8" s="114"/>
      <c r="E8" s="141"/>
      <c r="F8" s="81"/>
      <c r="G8" s="142"/>
      <c r="K8" s="119"/>
    </row>
    <row r="9" spans="1:13" ht="13">
      <c r="A9" s="114"/>
      <c r="E9" s="141"/>
      <c r="F9" s="81"/>
      <c r="G9" s="142"/>
      <c r="K9" s="119"/>
    </row>
    <row r="10" spans="1:13" ht="13">
      <c r="A10" s="114"/>
      <c r="E10" s="141"/>
      <c r="F10" s="81"/>
      <c r="G10" s="142"/>
      <c r="K10" s="119"/>
    </row>
    <row r="11" spans="1:13" ht="18" customHeight="1">
      <c r="A11" s="114"/>
      <c r="E11" s="141"/>
      <c r="F11" s="81"/>
      <c r="G11" s="142"/>
      <c r="K11" s="119"/>
    </row>
    <row r="12" spans="1:13">
      <c r="A12" s="114"/>
      <c r="K12" s="119"/>
    </row>
    <row r="13" spans="1:13" ht="18">
      <c r="A13" s="114"/>
      <c r="B13" s="42" t="s">
        <v>52</v>
      </c>
      <c r="C13" s="143" t="s">
        <v>59</v>
      </c>
      <c r="D13" s="144"/>
      <c r="E13" s="144"/>
      <c r="J13" s="135"/>
      <c r="K13" s="119"/>
    </row>
    <row r="14" spans="1:13">
      <c r="A14" s="114"/>
      <c r="C14" s="145"/>
      <c r="E14" s="146"/>
      <c r="K14" s="119"/>
    </row>
    <row r="15" spans="1:13" ht="15" customHeight="1">
      <c r="A15" s="114"/>
      <c r="B15" s="18" t="s">
        <v>48</v>
      </c>
      <c r="C15" s="147">
        <v>1</v>
      </c>
      <c r="E15" s="146"/>
      <c r="K15" s="119"/>
    </row>
    <row r="16" spans="1:13" ht="15" customHeight="1">
      <c r="A16" s="114"/>
      <c r="B16" s="18" t="s">
        <v>355</v>
      </c>
      <c r="C16" s="147">
        <v>2</v>
      </c>
      <c r="D16" s="864"/>
      <c r="E16" s="146"/>
      <c r="K16" s="119"/>
    </row>
    <row r="17" spans="1:11" ht="15" customHeight="1">
      <c r="A17" s="114"/>
      <c r="B17" s="18" t="s">
        <v>49</v>
      </c>
      <c r="C17" s="147">
        <v>3</v>
      </c>
      <c r="K17" s="119"/>
    </row>
    <row r="18" spans="1:11" ht="15" customHeight="1">
      <c r="A18" s="114"/>
      <c r="B18" s="18" t="s">
        <v>234</v>
      </c>
      <c r="C18" s="147">
        <v>4</v>
      </c>
      <c r="D18" s="865"/>
      <c r="J18" s="135"/>
      <c r="K18" s="119"/>
    </row>
    <row r="19" spans="1:11" ht="15" customHeight="1">
      <c r="A19" s="114"/>
      <c r="B19" s="148" t="s">
        <v>235</v>
      </c>
      <c r="C19" s="147">
        <v>5</v>
      </c>
      <c r="D19" s="865"/>
      <c r="J19" s="135"/>
      <c r="K19" s="119"/>
    </row>
    <row r="20" spans="1:11" ht="15" customHeight="1">
      <c r="A20" s="114"/>
      <c r="B20" s="148" t="s">
        <v>356</v>
      </c>
      <c r="C20" s="147">
        <v>6</v>
      </c>
      <c r="D20" s="865"/>
      <c r="J20" s="135"/>
      <c r="K20" s="119"/>
    </row>
    <row r="21" spans="1:11" ht="15" customHeight="1">
      <c r="A21" s="114"/>
      <c r="B21" s="18" t="s">
        <v>117</v>
      </c>
      <c r="C21" s="147">
        <v>7</v>
      </c>
      <c r="J21" s="135"/>
      <c r="K21" s="119"/>
    </row>
    <row r="22" spans="1:11" ht="15" customHeight="1">
      <c r="A22" s="114"/>
      <c r="B22" s="18" t="s">
        <v>118</v>
      </c>
      <c r="C22" s="147">
        <v>8</v>
      </c>
      <c r="D22" s="866"/>
      <c r="E22" s="146"/>
      <c r="J22" s="32"/>
      <c r="K22" s="119"/>
    </row>
    <row r="23" spans="1:11" ht="15" customHeight="1">
      <c r="A23" s="114"/>
      <c r="B23" s="18" t="s">
        <v>119</v>
      </c>
      <c r="C23" s="147">
        <v>9</v>
      </c>
      <c r="E23" s="146"/>
      <c r="J23" s="149"/>
      <c r="K23" s="119"/>
    </row>
    <row r="24" spans="1:11" ht="15" customHeight="1">
      <c r="A24" s="114"/>
      <c r="B24" s="18" t="s">
        <v>120</v>
      </c>
      <c r="C24" s="147">
        <v>10</v>
      </c>
      <c r="E24" s="146"/>
      <c r="J24" s="149"/>
      <c r="K24" s="119"/>
    </row>
    <row r="25" spans="1:11" ht="15" customHeight="1">
      <c r="A25" s="114"/>
      <c r="B25" s="18" t="s">
        <v>121</v>
      </c>
      <c r="C25" s="147">
        <v>11</v>
      </c>
      <c r="E25" s="146"/>
      <c r="J25" s="149"/>
      <c r="K25" s="119"/>
    </row>
    <row r="26" spans="1:11" ht="15" customHeight="1">
      <c r="A26" s="114"/>
      <c r="B26" s="18" t="s">
        <v>122</v>
      </c>
      <c r="C26" s="147">
        <v>12</v>
      </c>
      <c r="E26" s="146"/>
      <c r="J26" s="149"/>
      <c r="K26" s="119"/>
    </row>
    <row r="27" spans="1:11" ht="15" customHeight="1">
      <c r="A27" s="114"/>
      <c r="B27" s="18" t="s">
        <v>123</v>
      </c>
      <c r="C27" s="147">
        <v>13</v>
      </c>
      <c r="E27" s="146"/>
      <c r="J27" s="149"/>
      <c r="K27" s="119"/>
    </row>
    <row r="28" spans="1:11" ht="15" customHeight="1">
      <c r="A28" s="114"/>
      <c r="B28" s="18" t="s">
        <v>124</v>
      </c>
      <c r="C28" s="147">
        <v>14</v>
      </c>
      <c r="E28" s="146"/>
      <c r="J28" s="149"/>
      <c r="K28" s="119"/>
    </row>
    <row r="29" spans="1:11" ht="15" customHeight="1">
      <c r="A29" s="114"/>
      <c r="B29" s="18" t="s">
        <v>125</v>
      </c>
      <c r="C29" s="147">
        <v>15</v>
      </c>
      <c r="E29" s="146"/>
      <c r="J29" s="149"/>
      <c r="K29" s="119"/>
    </row>
    <row r="30" spans="1:11" ht="15" customHeight="1">
      <c r="A30" s="114"/>
      <c r="B30" s="18" t="s">
        <v>126</v>
      </c>
      <c r="C30" s="147">
        <v>16</v>
      </c>
      <c r="E30" s="146"/>
      <c r="J30" s="149"/>
      <c r="K30" s="119"/>
    </row>
    <row r="31" spans="1:11" ht="15" customHeight="1">
      <c r="A31" s="114"/>
      <c r="B31" s="18" t="s">
        <v>127</v>
      </c>
      <c r="C31" s="147">
        <v>17</v>
      </c>
      <c r="E31" s="146"/>
      <c r="J31" s="149"/>
      <c r="K31" s="119"/>
    </row>
    <row r="32" spans="1:11" ht="15" customHeight="1">
      <c r="A32" s="114"/>
      <c r="B32" s="18" t="s">
        <v>128</v>
      </c>
      <c r="C32" s="147">
        <v>18</v>
      </c>
      <c r="E32" s="146"/>
      <c r="J32" s="149"/>
      <c r="K32" s="119"/>
    </row>
    <row r="33" spans="1:11" ht="15" customHeight="1">
      <c r="A33" s="114"/>
      <c r="B33" s="18" t="s">
        <v>199</v>
      </c>
      <c r="C33" s="147">
        <v>19</v>
      </c>
      <c r="E33" s="146"/>
      <c r="J33" s="149"/>
      <c r="K33" s="119"/>
    </row>
    <row r="34" spans="1:11" ht="15" customHeight="1">
      <c r="A34" s="114"/>
      <c r="B34" s="18" t="s">
        <v>200</v>
      </c>
      <c r="C34" s="147">
        <v>20</v>
      </c>
      <c r="E34" s="146"/>
      <c r="J34" s="149"/>
      <c r="K34" s="119"/>
    </row>
    <row r="35" spans="1:11" ht="15" customHeight="1">
      <c r="A35" s="114"/>
      <c r="B35" s="18" t="s">
        <v>129</v>
      </c>
      <c r="C35" s="147">
        <v>21</v>
      </c>
      <c r="E35" s="146"/>
      <c r="J35" s="149"/>
      <c r="K35" s="119"/>
    </row>
    <row r="36" spans="1:11" ht="15" customHeight="1">
      <c r="A36" s="114"/>
      <c r="B36" s="18" t="s">
        <v>130</v>
      </c>
      <c r="C36" s="147">
        <v>22</v>
      </c>
      <c r="E36" s="146"/>
      <c r="J36" s="149"/>
      <c r="K36" s="119"/>
    </row>
    <row r="37" spans="1:11" ht="15" customHeight="1">
      <c r="A37" s="114"/>
      <c r="B37" s="18" t="s">
        <v>131</v>
      </c>
      <c r="C37" s="147">
        <v>23</v>
      </c>
      <c r="E37" s="146"/>
      <c r="J37" s="149"/>
      <c r="K37" s="119"/>
    </row>
    <row r="38" spans="1:11" ht="15" customHeight="1">
      <c r="A38" s="114"/>
      <c r="B38" s="18" t="s">
        <v>132</v>
      </c>
      <c r="C38" s="147">
        <v>24</v>
      </c>
      <c r="E38" s="146"/>
      <c r="J38" s="149"/>
      <c r="K38" s="119"/>
    </row>
    <row r="39" spans="1:11" ht="15" customHeight="1">
      <c r="A39" s="114"/>
      <c r="B39" s="18" t="s">
        <v>133</v>
      </c>
      <c r="C39" s="147">
        <v>25</v>
      </c>
      <c r="E39" s="146"/>
      <c r="J39" s="149"/>
      <c r="K39" s="119"/>
    </row>
    <row r="40" spans="1:11" ht="15" customHeight="1">
      <c r="A40" s="114"/>
      <c r="B40" s="18" t="s">
        <v>134</v>
      </c>
      <c r="C40" s="147">
        <v>26</v>
      </c>
      <c r="E40" s="146"/>
      <c r="J40" s="149"/>
      <c r="K40" s="119"/>
    </row>
    <row r="41" spans="1:11" ht="15" customHeight="1">
      <c r="A41" s="114"/>
      <c r="B41" s="18" t="s">
        <v>135</v>
      </c>
      <c r="C41" s="147">
        <v>27</v>
      </c>
      <c r="E41" s="146"/>
      <c r="J41" s="149"/>
      <c r="K41" s="119"/>
    </row>
    <row r="42" spans="1:11" ht="15" customHeight="1">
      <c r="A42" s="114"/>
      <c r="B42" s="18" t="s">
        <v>365</v>
      </c>
      <c r="C42" s="147">
        <v>28</v>
      </c>
      <c r="E42" s="146"/>
      <c r="J42" s="149"/>
      <c r="K42" s="119"/>
    </row>
    <row r="43" spans="1:11" ht="15" customHeight="1">
      <c r="A43" s="114"/>
      <c r="B43" s="18" t="s">
        <v>366</v>
      </c>
      <c r="C43" s="147">
        <v>29</v>
      </c>
      <c r="E43" s="146"/>
      <c r="J43" s="149"/>
      <c r="K43" s="119"/>
    </row>
    <row r="44" spans="1:11" ht="15" customHeight="1">
      <c r="A44" s="114"/>
      <c r="B44" s="18" t="s">
        <v>367</v>
      </c>
      <c r="C44" s="147">
        <v>30</v>
      </c>
      <c r="E44" s="146"/>
      <c r="J44" s="149"/>
      <c r="K44" s="119"/>
    </row>
    <row r="45" spans="1:11" ht="15" customHeight="1">
      <c r="A45" s="114"/>
      <c r="B45" s="18" t="s">
        <v>368</v>
      </c>
      <c r="C45" s="147">
        <v>31</v>
      </c>
      <c r="E45" s="146"/>
      <c r="J45" s="149"/>
      <c r="K45" s="119"/>
    </row>
    <row r="46" spans="1:11" ht="15" customHeight="1">
      <c r="A46" s="114"/>
      <c r="B46" s="18" t="s">
        <v>233</v>
      </c>
      <c r="C46" s="147">
        <v>32</v>
      </c>
      <c r="E46" s="111"/>
      <c r="J46" s="32"/>
      <c r="K46" s="119"/>
    </row>
    <row r="47" spans="1:11" ht="15" customHeight="1">
      <c r="A47" s="114"/>
      <c r="B47" s="18" t="s">
        <v>369</v>
      </c>
      <c r="C47" s="147">
        <v>33</v>
      </c>
      <c r="E47" s="111"/>
      <c r="J47" s="32"/>
      <c r="K47" s="119"/>
    </row>
    <row r="48" spans="1:11" ht="15" customHeight="1">
      <c r="A48" s="114"/>
      <c r="B48" s="18" t="s">
        <v>370</v>
      </c>
      <c r="C48" s="147">
        <v>34</v>
      </c>
      <c r="E48" s="111"/>
      <c r="J48" s="32"/>
      <c r="K48" s="119"/>
    </row>
    <row r="49" spans="1:11" ht="15" customHeight="1">
      <c r="A49" s="114"/>
      <c r="B49" s="18" t="s">
        <v>371</v>
      </c>
      <c r="C49" s="147">
        <v>35</v>
      </c>
      <c r="E49" s="111"/>
      <c r="J49" s="32"/>
      <c r="K49" s="119"/>
    </row>
    <row r="50" spans="1:11" ht="13">
      <c r="A50" s="114"/>
      <c r="C50" s="147"/>
      <c r="E50" s="111"/>
      <c r="J50" s="32"/>
      <c r="K50" s="119"/>
    </row>
    <row r="51" spans="1:11" ht="13">
      <c r="A51" s="114"/>
      <c r="C51" s="147"/>
      <c r="E51" s="111"/>
      <c r="J51" s="32"/>
      <c r="K51" s="119"/>
    </row>
    <row r="52" spans="1:11" ht="12.75" customHeight="1">
      <c r="A52" s="150"/>
      <c r="B52" s="151"/>
      <c r="C52" s="51"/>
      <c r="D52" s="51"/>
      <c r="E52" s="51"/>
      <c r="F52" s="51"/>
      <c r="G52" s="51"/>
      <c r="H52" s="51"/>
      <c r="I52" s="51"/>
      <c r="J52" s="151"/>
      <c r="K52" s="152"/>
    </row>
    <row r="53" spans="1:11" ht="13">
      <c r="B53" s="153"/>
      <c r="C53" s="32"/>
      <c r="J53" s="153"/>
    </row>
    <row r="54" spans="1:11">
      <c r="B54" s="153"/>
      <c r="J54" s="153"/>
    </row>
    <row r="55" spans="1:11">
      <c r="B55" s="153"/>
      <c r="J55" s="153"/>
    </row>
    <row r="56" spans="1:11">
      <c r="B56" s="153"/>
      <c r="J56" s="153"/>
    </row>
    <row r="59" spans="1:11" ht="13">
      <c r="C59" s="32"/>
    </row>
    <row r="60" spans="1:11" ht="13">
      <c r="C60" s="32"/>
    </row>
    <row r="61" spans="1:11" ht="13">
      <c r="C61" s="32"/>
    </row>
    <row r="66" spans="3:3">
      <c r="C66" s="154"/>
    </row>
  </sheetData>
  <phoneticPr fontId="3" type="noConversion"/>
  <pageMargins left="0.70866141732283472" right="0.70866141732283472" top="0.78740157480314965" bottom="0.78740157480314965" header="0.31496062992125984" footer="0.31496062992125984"/>
  <pageSetup paperSize="9" scale="63" orientation="landscape" r:id="rId1"/>
  <headerFooter>
    <oddFooter>&amp;L&amp;"Frutiger 57Cn,Standard"&amp;8
Santander Consumer Bank AG
Santander-Platz 1
41061 Mönchengladbach</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1.81640625" style="18" customWidth="1"/>
    <col min="4" max="4" width="29.179687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29.179687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147</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B12" s="168"/>
      <c r="C12" s="168"/>
      <c r="K12" s="119"/>
    </row>
    <row r="13" spans="1:17" ht="29">
      <c r="A13" s="114"/>
      <c r="B13" s="13"/>
      <c r="C13" s="12"/>
      <c r="D13" s="441" t="s">
        <v>73</v>
      </c>
      <c r="E13" s="470" t="s">
        <v>72</v>
      </c>
      <c r="F13" s="442" t="s">
        <v>114</v>
      </c>
      <c r="G13" s="443" t="s">
        <v>62</v>
      </c>
      <c r="H13" s="471" t="s">
        <v>115</v>
      </c>
      <c r="K13" s="119"/>
      <c r="M13" s="201"/>
      <c r="N13" s="204"/>
      <c r="O13" s="202"/>
      <c r="P13" s="439"/>
      <c r="Q13" s="439"/>
    </row>
    <row r="14" spans="1:17" ht="13.5" customHeight="1">
      <c r="A14" s="114"/>
      <c r="B14" s="13"/>
      <c r="C14" s="12"/>
      <c r="D14" s="513" t="s">
        <v>631</v>
      </c>
      <c r="E14" s="514">
        <f>VLOOKUP(CONCATENATE("payment_",D14),Assets_Daten,3,0)</f>
        <v>1081767010.3000033</v>
      </c>
      <c r="F14" s="515">
        <f>E14/$E$16</f>
        <v>0.95584095411465608</v>
      </c>
      <c r="G14" s="516">
        <f>VLOOKUP(CONCATENATE("payment_",D14),Assets_Daten,2,0)</f>
        <v>66098</v>
      </c>
      <c r="H14" s="517">
        <f>G14/$G$16</f>
        <v>0.96427268881205597</v>
      </c>
      <c r="K14" s="119"/>
      <c r="M14" s="518"/>
      <c r="N14" s="519"/>
      <c r="O14" s="520"/>
      <c r="P14" s="521"/>
      <c r="Q14" s="520"/>
    </row>
    <row r="15" spans="1:17" ht="13" thickBot="1">
      <c r="A15" s="114"/>
      <c r="B15" s="13"/>
      <c r="C15" s="12"/>
      <c r="D15" s="522" t="s">
        <v>632</v>
      </c>
      <c r="E15" s="523">
        <f>VLOOKUP(CONCATENATE("payment_",D15),Assets_Daten,3,0)</f>
        <v>49976723.470000014</v>
      </c>
      <c r="F15" s="515">
        <f>E15/$E$16</f>
        <v>4.4159045885343903E-2</v>
      </c>
      <c r="G15" s="524">
        <f>VLOOKUP(CONCATENATE("payment_",D15),Assets_Daten,2,0)</f>
        <v>2449</v>
      </c>
      <c r="H15" s="525">
        <f>G15/$G$16</f>
        <v>3.572731118794404E-2</v>
      </c>
      <c r="K15" s="119"/>
      <c r="M15" s="518"/>
      <c r="N15" s="519"/>
      <c r="O15" s="520"/>
      <c r="P15" s="521"/>
      <c r="Q15" s="520"/>
    </row>
    <row r="16" spans="1:17" ht="14" thickTop="1" thickBot="1">
      <c r="A16" s="114"/>
      <c r="B16" s="13"/>
      <c r="C16" s="12"/>
      <c r="D16" s="526" t="s">
        <v>36</v>
      </c>
      <c r="E16" s="785">
        <f>SUM(E14:E15)</f>
        <v>1131743733.7700033</v>
      </c>
      <c r="F16" s="791">
        <f t="shared" ref="F16:H16" si="0">SUM(F14:F15)</f>
        <v>1</v>
      </c>
      <c r="G16" s="787">
        <f t="shared" si="0"/>
        <v>68547</v>
      </c>
      <c r="H16" s="792">
        <f t="shared" si="0"/>
        <v>1</v>
      </c>
      <c r="K16" s="119"/>
      <c r="M16" s="527"/>
      <c r="N16" s="528"/>
      <c r="O16" s="529"/>
      <c r="P16" s="530"/>
      <c r="Q16" s="529"/>
    </row>
    <row r="17" spans="1:17">
      <c r="A17" s="114"/>
      <c r="B17" s="13"/>
      <c r="C17" s="12"/>
      <c r="D17" s="187"/>
      <c r="E17" s="187"/>
      <c r="F17" s="187"/>
      <c r="G17" s="187"/>
      <c r="H17" s="187"/>
      <c r="K17" s="119"/>
      <c r="M17" s="187"/>
      <c r="N17" s="187"/>
      <c r="O17" s="187"/>
      <c r="P17" s="187"/>
      <c r="Q17" s="187"/>
    </row>
    <row r="18" spans="1:17">
      <c r="A18" s="114"/>
      <c r="B18" s="13"/>
      <c r="C18" s="12"/>
      <c r="D18" s="187"/>
      <c r="E18" s="220"/>
      <c r="F18" s="187"/>
      <c r="G18" s="190"/>
      <c r="H18" s="187"/>
      <c r="K18" s="119"/>
      <c r="M18" s="187"/>
      <c r="N18" s="220"/>
      <c r="O18" s="187"/>
      <c r="P18" s="190"/>
      <c r="Q18" s="187"/>
    </row>
    <row r="19" spans="1:17" ht="13" thickBot="1">
      <c r="A19" s="114"/>
      <c r="B19" s="13"/>
      <c r="C19" s="12"/>
      <c r="D19" s="187"/>
      <c r="E19" s="187"/>
      <c r="F19" s="187"/>
      <c r="G19" s="187"/>
      <c r="H19" s="187"/>
      <c r="K19" s="119"/>
      <c r="M19" s="187"/>
      <c r="N19" s="187"/>
      <c r="O19" s="187"/>
      <c r="P19" s="187"/>
      <c r="Q19" s="187"/>
    </row>
    <row r="20" spans="1:17" ht="29">
      <c r="A20" s="114"/>
      <c r="B20" s="13"/>
      <c r="C20" s="12"/>
      <c r="D20" s="441" t="s">
        <v>74</v>
      </c>
      <c r="E20" s="470" t="s">
        <v>72</v>
      </c>
      <c r="F20" s="442" t="s">
        <v>114</v>
      </c>
      <c r="G20" s="443" t="s">
        <v>62</v>
      </c>
      <c r="H20" s="471" t="s">
        <v>115</v>
      </c>
      <c r="I20" s="499"/>
      <c r="K20" s="119"/>
      <c r="M20" s="201"/>
      <c r="N20" s="204"/>
      <c r="O20" s="202"/>
      <c r="P20" s="439"/>
      <c r="Q20" s="439"/>
    </row>
    <row r="21" spans="1:17" ht="13.5" customHeight="1">
      <c r="A21" s="114"/>
      <c r="B21" s="13"/>
      <c r="C21" s="12"/>
      <c r="D21" s="106" t="s">
        <v>633</v>
      </c>
      <c r="E21" s="514">
        <f>VLOOKUP(CONCATENATE("payment_",D21),Assets_Daten,3,0)</f>
        <v>290457153.15999842</v>
      </c>
      <c r="F21" s="515">
        <f>E21/$E$23</f>
        <v>0.25664569150512895</v>
      </c>
      <c r="G21" s="516">
        <f>VLOOKUP(CONCATENATE("payment_",D21),Assets_Daten,2,0)</f>
        <v>17770</v>
      </c>
      <c r="H21" s="517">
        <f>G21/$G$23</f>
        <v>0.25923818693742978</v>
      </c>
      <c r="K21" s="119"/>
      <c r="M21" s="518"/>
      <c r="N21" s="519"/>
      <c r="O21" s="520"/>
      <c r="P21" s="521"/>
      <c r="Q21" s="520"/>
    </row>
    <row r="22" spans="1:17" ht="13.5" customHeight="1" thickBot="1">
      <c r="A22" s="114"/>
      <c r="B22" s="13"/>
      <c r="C22" s="12"/>
      <c r="D22" s="531" t="s">
        <v>634</v>
      </c>
      <c r="E22" s="523">
        <f>VLOOKUP(CONCATENATE("payment_",D22),Assets_Daten,3,0)</f>
        <v>841286580.61000264</v>
      </c>
      <c r="F22" s="532">
        <f>E22/$E$23</f>
        <v>0.74335430849487116</v>
      </c>
      <c r="G22" s="524">
        <f>VLOOKUP(CONCATENATE("payment_",D22),Assets_Daten,2,0)</f>
        <v>50777</v>
      </c>
      <c r="H22" s="533">
        <f>G22/$G$23</f>
        <v>0.74076181306257016</v>
      </c>
      <c r="I22" s="501"/>
      <c r="K22" s="119"/>
      <c r="M22" s="518"/>
      <c r="N22" s="519"/>
      <c r="O22" s="520"/>
      <c r="P22" s="521"/>
      <c r="Q22" s="520"/>
    </row>
    <row r="23" spans="1:17" ht="14" thickTop="1" thickBot="1">
      <c r="A23" s="114"/>
      <c r="B23" s="13"/>
      <c r="C23" s="12"/>
      <c r="D23" s="534" t="s">
        <v>36</v>
      </c>
      <c r="E23" s="785">
        <f>SUM(E21:E22)</f>
        <v>1131743733.7700009</v>
      </c>
      <c r="F23" s="791">
        <f t="shared" ref="F23:H23" si="1">SUM(F21:F22)</f>
        <v>1</v>
      </c>
      <c r="G23" s="787">
        <f t="shared" si="1"/>
        <v>68547</v>
      </c>
      <c r="H23" s="792">
        <f t="shared" si="1"/>
        <v>1</v>
      </c>
      <c r="K23" s="119"/>
      <c r="M23" s="527"/>
      <c r="N23" s="528"/>
      <c r="O23" s="529"/>
      <c r="P23" s="530"/>
      <c r="Q23" s="529"/>
    </row>
    <row r="24" spans="1:17" ht="13">
      <c r="A24" s="114"/>
      <c r="B24" s="13"/>
      <c r="C24" s="12"/>
      <c r="D24" s="527"/>
      <c r="E24" s="528"/>
      <c r="F24" s="535"/>
      <c r="G24" s="530"/>
      <c r="H24" s="535"/>
      <c r="K24" s="119"/>
      <c r="M24" s="527"/>
      <c r="N24" s="528"/>
      <c r="O24" s="529"/>
      <c r="P24" s="530"/>
      <c r="Q24" s="529"/>
    </row>
    <row r="25" spans="1:17" ht="13">
      <c r="A25" s="114"/>
      <c r="B25" s="13"/>
      <c r="C25" s="12"/>
      <c r="D25" s="527"/>
      <c r="E25" s="528"/>
      <c r="F25" s="535"/>
      <c r="G25" s="530"/>
      <c r="H25" s="535"/>
      <c r="K25" s="119"/>
      <c r="M25" s="527"/>
      <c r="N25" s="528"/>
      <c r="O25" s="529"/>
      <c r="P25" s="530"/>
      <c r="Q25" s="529"/>
    </row>
    <row r="26" spans="1:17" ht="13">
      <c r="A26" s="114"/>
      <c r="B26" s="13"/>
      <c r="C26" s="12"/>
      <c r="D26" s="527"/>
      <c r="E26" s="528"/>
      <c r="F26" s="535"/>
      <c r="G26" s="530"/>
      <c r="H26" s="535"/>
      <c r="K26" s="119"/>
      <c r="M26" s="527"/>
      <c r="N26" s="528"/>
      <c r="O26" s="529"/>
      <c r="P26" s="530"/>
      <c r="Q26" s="529"/>
    </row>
    <row r="27" spans="1:17" ht="13">
      <c r="A27" s="114"/>
      <c r="B27" s="13"/>
      <c r="C27" s="12"/>
      <c r="D27" s="527"/>
      <c r="E27" s="528"/>
      <c r="F27" s="535"/>
      <c r="G27" s="530"/>
      <c r="H27" s="535"/>
      <c r="K27" s="119"/>
      <c r="M27" s="527"/>
      <c r="N27" s="528"/>
      <c r="O27" s="529"/>
      <c r="P27" s="530"/>
      <c r="Q27" s="529"/>
    </row>
    <row r="28" spans="1:17" ht="13">
      <c r="A28" s="114"/>
      <c r="B28" s="13"/>
      <c r="C28" s="12"/>
      <c r="D28" s="527"/>
      <c r="E28" s="528"/>
      <c r="F28" s="535"/>
      <c r="G28" s="530"/>
      <c r="H28" s="535"/>
      <c r="K28" s="119"/>
      <c r="M28" s="527"/>
      <c r="N28" s="528"/>
      <c r="O28" s="529"/>
      <c r="P28" s="530"/>
      <c r="Q28" s="529"/>
    </row>
    <row r="29" spans="1:17" ht="13">
      <c r="A29" s="114"/>
      <c r="B29" s="13"/>
      <c r="C29" s="12"/>
      <c r="D29" s="527"/>
      <c r="E29" s="528"/>
      <c r="F29" s="535"/>
      <c r="G29" s="530"/>
      <c r="H29" s="535"/>
      <c r="K29" s="119"/>
      <c r="M29" s="527"/>
      <c r="N29" s="528"/>
      <c r="O29" s="529"/>
      <c r="P29" s="530"/>
      <c r="Q29" s="529"/>
    </row>
    <row r="30" spans="1:17" ht="13">
      <c r="A30" s="114"/>
      <c r="B30" s="13"/>
      <c r="C30" s="12"/>
      <c r="D30" s="527"/>
      <c r="E30" s="528"/>
      <c r="F30" s="535"/>
      <c r="G30" s="530"/>
      <c r="H30" s="535"/>
      <c r="K30" s="119"/>
      <c r="M30" s="527"/>
      <c r="N30" s="528"/>
      <c r="O30" s="529"/>
      <c r="P30" s="530"/>
      <c r="Q30" s="529"/>
    </row>
    <row r="31" spans="1:17" ht="13">
      <c r="A31" s="114"/>
      <c r="B31" s="13"/>
      <c r="C31" s="12"/>
      <c r="D31" s="527"/>
      <c r="E31" s="528"/>
      <c r="F31" s="535"/>
      <c r="G31" s="530"/>
      <c r="H31" s="535"/>
      <c r="K31" s="119"/>
      <c r="M31" s="527"/>
      <c r="N31" s="528"/>
      <c r="O31" s="529"/>
      <c r="P31" s="530"/>
      <c r="Q31" s="529"/>
    </row>
    <row r="32" spans="1:17" ht="13">
      <c r="A32" s="114"/>
      <c r="B32" s="13"/>
      <c r="C32" s="12"/>
      <c r="D32" s="527"/>
      <c r="E32" s="528"/>
      <c r="F32" s="535"/>
      <c r="G32" s="530"/>
      <c r="H32" s="535"/>
      <c r="K32" s="119"/>
      <c r="M32" s="527"/>
      <c r="N32" s="528"/>
      <c r="O32" s="529"/>
      <c r="P32" s="530"/>
      <c r="Q32" s="529"/>
    </row>
    <row r="33" spans="1:17" ht="13">
      <c r="A33" s="114"/>
      <c r="B33" s="13"/>
      <c r="C33" s="12"/>
      <c r="D33" s="527"/>
      <c r="E33" s="528"/>
      <c r="F33" s="535"/>
      <c r="G33" s="530"/>
      <c r="H33" s="535"/>
      <c r="K33" s="119"/>
      <c r="M33" s="527"/>
      <c r="N33" s="528"/>
      <c r="O33" s="529"/>
      <c r="P33" s="530"/>
      <c r="Q33" s="529"/>
    </row>
    <row r="34" spans="1:17" ht="13">
      <c r="A34" s="114"/>
      <c r="B34" s="13"/>
      <c r="C34" s="12"/>
      <c r="D34" s="527"/>
      <c r="E34" s="528"/>
      <c r="F34" s="535"/>
      <c r="G34" s="530"/>
      <c r="H34" s="535"/>
      <c r="K34" s="119"/>
      <c r="M34" s="527"/>
      <c r="N34" s="528"/>
      <c r="O34" s="529"/>
      <c r="P34" s="530"/>
      <c r="Q34" s="529"/>
    </row>
    <row r="35" spans="1:17" ht="13">
      <c r="A35" s="114"/>
      <c r="B35" s="13"/>
      <c r="C35" s="12"/>
      <c r="D35" s="527"/>
      <c r="E35" s="528"/>
      <c r="F35" s="535"/>
      <c r="G35" s="530"/>
      <c r="H35" s="535"/>
      <c r="K35" s="119"/>
      <c r="M35" s="527"/>
      <c r="N35" s="528"/>
      <c r="O35" s="529"/>
      <c r="P35" s="530"/>
      <c r="Q35" s="529"/>
    </row>
    <row r="36" spans="1:17" ht="13">
      <c r="A36" s="114"/>
      <c r="B36" s="13"/>
      <c r="C36" s="12"/>
      <c r="D36" s="527"/>
      <c r="E36" s="528"/>
      <c r="F36" s="535"/>
      <c r="G36" s="530"/>
      <c r="H36" s="535"/>
      <c r="K36" s="119"/>
      <c r="M36" s="527"/>
      <c r="N36" s="528"/>
      <c r="O36" s="529"/>
      <c r="P36" s="530"/>
      <c r="Q36" s="529"/>
    </row>
    <row r="37" spans="1:17" ht="13">
      <c r="A37" s="114"/>
      <c r="B37" s="13"/>
      <c r="C37" s="12"/>
      <c r="D37" s="527"/>
      <c r="E37" s="528"/>
      <c r="F37" s="535"/>
      <c r="G37" s="530"/>
      <c r="H37" s="535"/>
      <c r="K37" s="119"/>
      <c r="M37" s="527"/>
      <c r="N37" s="528"/>
      <c r="O37" s="529"/>
      <c r="P37" s="530"/>
      <c r="Q37" s="529"/>
    </row>
    <row r="38" spans="1:17" ht="13">
      <c r="A38" s="114"/>
      <c r="B38" s="13"/>
      <c r="C38" s="12"/>
      <c r="D38" s="527"/>
      <c r="E38" s="528"/>
      <c r="F38" s="535"/>
      <c r="G38" s="530"/>
      <c r="H38" s="535"/>
      <c r="K38" s="119"/>
      <c r="M38" s="527"/>
      <c r="N38" s="528"/>
      <c r="O38" s="529"/>
      <c r="P38" s="530"/>
      <c r="Q38" s="529"/>
    </row>
    <row r="39" spans="1:17" ht="13">
      <c r="A39" s="114"/>
      <c r="B39" s="13"/>
      <c r="C39" s="12"/>
      <c r="D39" s="527"/>
      <c r="E39" s="536"/>
      <c r="F39" s="536"/>
      <c r="G39" s="32"/>
      <c r="H39" s="32"/>
      <c r="K39" s="119"/>
      <c r="M39" s="527"/>
      <c r="N39" s="536"/>
      <c r="O39" s="536"/>
      <c r="P39" s="32"/>
      <c r="Q39" s="32"/>
    </row>
    <row r="40" spans="1:17" ht="13">
      <c r="A40" s="114"/>
      <c r="B40" s="13"/>
      <c r="C40" s="12"/>
      <c r="D40" s="527"/>
      <c r="E40" s="536"/>
      <c r="F40" s="536"/>
      <c r="G40" s="32"/>
      <c r="H40" s="32"/>
      <c r="K40" s="119"/>
      <c r="M40" s="527"/>
      <c r="N40" s="536"/>
      <c r="O40" s="536"/>
      <c r="P40" s="32"/>
      <c r="Q40" s="32"/>
    </row>
    <row r="41" spans="1:17" ht="13">
      <c r="A41" s="114"/>
      <c r="B41" s="13"/>
      <c r="C41" s="12"/>
      <c r="D41" s="527"/>
      <c r="E41" s="536"/>
      <c r="F41" s="536"/>
      <c r="G41" s="32"/>
      <c r="H41" s="32"/>
      <c r="K41" s="119"/>
      <c r="M41" s="527"/>
      <c r="N41" s="536"/>
      <c r="O41" s="536"/>
      <c r="P41" s="32"/>
      <c r="Q41" s="32"/>
    </row>
    <row r="42" spans="1:17" ht="13">
      <c r="A42" s="114"/>
      <c r="B42" s="13"/>
      <c r="C42" s="12"/>
      <c r="D42" s="527"/>
      <c r="E42" s="536"/>
      <c r="F42" s="536"/>
      <c r="G42" s="32"/>
      <c r="H42" s="32"/>
      <c r="K42" s="119"/>
      <c r="M42" s="527"/>
      <c r="N42" s="536"/>
      <c r="O42" s="536"/>
      <c r="P42" s="32"/>
      <c r="Q42" s="32"/>
    </row>
    <row r="43" spans="1:17" ht="13">
      <c r="A43" s="114"/>
      <c r="B43" s="13"/>
      <c r="C43" s="12"/>
      <c r="D43" s="527"/>
      <c r="E43" s="536"/>
      <c r="F43" s="536"/>
      <c r="G43" s="32"/>
      <c r="H43" s="32"/>
      <c r="K43" s="119"/>
      <c r="M43" s="527"/>
      <c r="N43" s="536"/>
      <c r="O43" s="536"/>
      <c r="P43" s="32"/>
      <c r="Q43" s="32"/>
    </row>
    <row r="44" spans="1:17" ht="13">
      <c r="A44" s="114"/>
      <c r="B44" s="13"/>
      <c r="C44" s="12"/>
      <c r="D44" s="527"/>
      <c r="E44" s="536"/>
      <c r="F44" s="536"/>
      <c r="G44" s="32"/>
      <c r="H44" s="32"/>
      <c r="K44" s="119"/>
      <c r="M44" s="527"/>
      <c r="N44" s="536"/>
      <c r="O44" s="536"/>
      <c r="P44" s="32"/>
      <c r="Q44" s="32"/>
    </row>
    <row r="45" spans="1:17" ht="13">
      <c r="A45" s="114"/>
      <c r="B45" s="13"/>
      <c r="C45" s="12"/>
      <c r="D45" s="527"/>
      <c r="E45" s="536"/>
      <c r="F45" s="536"/>
      <c r="G45" s="32"/>
      <c r="H45" s="32"/>
      <c r="K45" s="119"/>
      <c r="M45" s="527"/>
      <c r="N45" s="536"/>
      <c r="O45" s="536"/>
      <c r="P45" s="32"/>
      <c r="Q45" s="32"/>
    </row>
    <row r="46" spans="1:17" ht="13">
      <c r="A46" s="114"/>
      <c r="B46" s="13"/>
      <c r="C46" s="12"/>
      <c r="D46" s="527"/>
      <c r="E46" s="536"/>
      <c r="F46" s="536"/>
      <c r="G46" s="32"/>
      <c r="H46" s="32"/>
      <c r="K46" s="119"/>
      <c r="M46" s="527"/>
      <c r="N46" s="536"/>
      <c r="O46" s="536"/>
      <c r="P46" s="32"/>
      <c r="Q46" s="32"/>
    </row>
    <row r="47" spans="1:17">
      <c r="A47" s="150"/>
      <c r="B47" s="26"/>
      <c r="C47" s="10"/>
      <c r="D47" s="312"/>
      <c r="E47" s="10"/>
      <c r="F47" s="290"/>
      <c r="G47" s="313"/>
      <c r="H47" s="290"/>
      <c r="I47" s="349"/>
      <c r="J47" s="51"/>
      <c r="K47" s="152"/>
      <c r="M47" s="184"/>
      <c r="N47" s="12"/>
      <c r="O47" s="185"/>
      <c r="P47" s="186"/>
      <c r="Q47" s="185"/>
    </row>
    <row r="48" spans="1:17">
      <c r="A48" s="44"/>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ht="15" customHeight="1">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7"/>
      <c r="E81" s="188"/>
      <c r="F81" s="219"/>
      <c r="G81" s="190"/>
      <c r="H81" s="219"/>
      <c r="I81" s="111"/>
      <c r="M81" s="187"/>
      <c r="N81" s="188"/>
      <c r="O81" s="219"/>
      <c r="P81" s="190"/>
      <c r="Q81" s="219"/>
    </row>
    <row r="82" spans="2:17">
      <c r="B82" s="13"/>
      <c r="C82" s="12"/>
      <c r="D82" s="187"/>
      <c r="E82" s="187"/>
      <c r="F82" s="187"/>
      <c r="G82" s="187"/>
      <c r="H82" s="187"/>
      <c r="I82" s="111"/>
      <c r="M82" s="187"/>
      <c r="N82" s="187"/>
      <c r="O82" s="187"/>
      <c r="P82" s="187"/>
      <c r="Q82" s="187"/>
    </row>
    <row r="83" spans="2:17">
      <c r="B83" s="13"/>
      <c r="C83" s="12"/>
      <c r="D83" s="187"/>
      <c r="E83" s="187"/>
      <c r="F83" s="187"/>
      <c r="G83" s="187"/>
      <c r="H83" s="187"/>
      <c r="I83" s="111"/>
      <c r="M83" s="187"/>
      <c r="N83" s="187"/>
      <c r="O83" s="187"/>
      <c r="P83" s="187"/>
      <c r="Q83" s="187"/>
    </row>
    <row r="84" spans="2:17">
      <c r="B84" s="13"/>
      <c r="C84" s="12"/>
      <c r="D84" s="191"/>
      <c r="E84" s="220"/>
      <c r="F84" s="187"/>
      <c r="G84" s="187"/>
      <c r="H84" s="187"/>
      <c r="I84" s="111"/>
      <c r="M84" s="191"/>
      <c r="N84" s="220"/>
      <c r="O84" s="187"/>
      <c r="P84" s="187"/>
      <c r="Q84" s="187"/>
    </row>
    <row r="85" spans="2:17">
      <c r="B85" s="13"/>
      <c r="C85" s="12"/>
      <c r="D85" s="188"/>
      <c r="E85" s="220"/>
      <c r="F85" s="187"/>
      <c r="G85" s="187"/>
      <c r="H85" s="187"/>
      <c r="I85" s="111"/>
      <c r="M85" s="188"/>
      <c r="N85" s="220"/>
      <c r="O85" s="187"/>
      <c r="P85" s="187"/>
      <c r="Q85" s="187"/>
    </row>
    <row r="86" spans="2:17">
      <c r="B86" s="13"/>
      <c r="C86" s="12"/>
      <c r="D86" s="187"/>
      <c r="E86" s="220"/>
      <c r="F86" s="187"/>
      <c r="G86" s="187"/>
      <c r="H86" s="187"/>
      <c r="I86" s="111"/>
      <c r="M86" s="187"/>
      <c r="N86" s="220"/>
      <c r="O86" s="187"/>
      <c r="P86" s="187"/>
      <c r="Q86" s="187"/>
    </row>
    <row r="87" spans="2:17" ht="14">
      <c r="B87" s="187"/>
      <c r="C87" s="188"/>
      <c r="D87" s="193"/>
      <c r="E87" s="193"/>
      <c r="F87" s="193"/>
      <c r="G87" s="193"/>
      <c r="H87" s="193"/>
      <c r="I87" s="111"/>
      <c r="M87" s="193"/>
      <c r="N87" s="193"/>
      <c r="O87" s="193"/>
      <c r="P87" s="193"/>
      <c r="Q87" s="193"/>
    </row>
    <row r="88" spans="2:17" ht="14">
      <c r="D88" s="193"/>
      <c r="E88" s="193"/>
      <c r="F88" s="193"/>
      <c r="G88" s="193"/>
      <c r="H88" s="193"/>
      <c r="I88" s="111"/>
      <c r="M88" s="193"/>
      <c r="N88" s="193"/>
      <c r="O88" s="193"/>
      <c r="P88" s="193"/>
      <c r="Q88" s="193"/>
    </row>
    <row r="89" spans="2:17" ht="14">
      <c r="D89" s="194"/>
      <c r="E89" s="221"/>
      <c r="F89" s="193"/>
      <c r="G89" s="193"/>
      <c r="H89" s="193"/>
      <c r="I89" s="111"/>
      <c r="M89" s="194"/>
      <c r="N89" s="221"/>
      <c r="O89" s="193"/>
      <c r="P89" s="193"/>
      <c r="Q89" s="193"/>
    </row>
    <row r="90" spans="2:17" ht="14">
      <c r="B90" s="191"/>
      <c r="C90" s="220"/>
      <c r="D90" s="196"/>
      <c r="E90" s="221"/>
      <c r="F90" s="193"/>
      <c r="G90" s="193"/>
      <c r="H90" s="193"/>
      <c r="I90" s="111"/>
      <c r="M90" s="196"/>
      <c r="N90" s="221"/>
      <c r="O90" s="193"/>
      <c r="P90" s="193"/>
      <c r="Q90" s="193"/>
    </row>
    <row r="91" spans="2:17" ht="14">
      <c r="B91" s="197"/>
      <c r="C91" s="220"/>
      <c r="D91" s="193"/>
      <c r="E91" s="221"/>
      <c r="F91" s="193"/>
      <c r="G91" s="193"/>
      <c r="H91" s="193"/>
      <c r="I91" s="111"/>
      <c r="M91" s="193"/>
      <c r="N91" s="221"/>
      <c r="O91" s="193"/>
      <c r="P91" s="193"/>
      <c r="Q91" s="193"/>
    </row>
    <row r="92" spans="2:17">
      <c r="C92" s="220"/>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224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3.1796875" style="18" customWidth="1"/>
    <col min="4" max="4" width="20.816406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29.179687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201</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B12" s="168"/>
      <c r="C12" s="168"/>
      <c r="K12" s="119"/>
    </row>
    <row r="13" spans="1:17" ht="29">
      <c r="A13" s="114"/>
      <c r="B13" s="13"/>
      <c r="C13" s="12"/>
      <c r="D13" s="441" t="s">
        <v>537</v>
      </c>
      <c r="E13" s="470" t="s">
        <v>72</v>
      </c>
      <c r="F13" s="442" t="s">
        <v>114</v>
      </c>
      <c r="G13" s="443" t="s">
        <v>62</v>
      </c>
      <c r="H13" s="471" t="s">
        <v>115</v>
      </c>
      <c r="K13" s="119"/>
      <c r="M13" s="201"/>
      <c r="N13" s="204"/>
      <c r="O13" s="202"/>
      <c r="P13" s="439"/>
      <c r="Q13" s="439"/>
    </row>
    <row r="14" spans="1:17">
      <c r="A14" s="114"/>
      <c r="B14" s="13"/>
      <c r="C14" s="12"/>
      <c r="D14" s="490" t="s">
        <v>635</v>
      </c>
      <c r="E14" s="491">
        <f t="shared" ref="E14:E27" si="0">VLOOKUP(CONCATENATE("interest_",D14),Assets_Daten,3,0)</f>
        <v>73006.44</v>
      </c>
      <c r="F14" s="492">
        <f>E14/$E$28</f>
        <v>6.4507925090784545E-5</v>
      </c>
      <c r="G14" s="493">
        <f t="shared" ref="G14:G27" si="1">VLOOKUP(CONCATENATE("interest_",D14),Assets_Daten,2,0)</f>
        <v>65</v>
      </c>
      <c r="H14" s="494">
        <f>G14/$G$28</f>
        <v>9.4825448232599527E-4</v>
      </c>
      <c r="K14" s="119"/>
      <c r="M14" s="495"/>
      <c r="N14" s="496"/>
      <c r="O14" s="497"/>
      <c r="P14" s="498"/>
      <c r="Q14" s="497"/>
    </row>
    <row r="15" spans="1:17">
      <c r="A15" s="114"/>
      <c r="B15" s="13"/>
      <c r="C15" s="12"/>
      <c r="D15" s="490" t="s">
        <v>636</v>
      </c>
      <c r="E15" s="491">
        <f t="shared" si="0"/>
        <v>810547.09999999986</v>
      </c>
      <c r="F15" s="492">
        <f t="shared" ref="F15:F27" si="2">E15/$E$28</f>
        <v>7.1619314144550316E-4</v>
      </c>
      <c r="G15" s="493">
        <f t="shared" si="1"/>
        <v>134</v>
      </c>
      <c r="H15" s="494">
        <f t="shared" ref="H15:H27" si="3">G15/$G$28</f>
        <v>1.9548630866412825E-3</v>
      </c>
      <c r="K15" s="119"/>
      <c r="M15" s="495"/>
      <c r="N15" s="496"/>
      <c r="O15" s="497"/>
      <c r="P15" s="498"/>
      <c r="Q15" s="497"/>
    </row>
    <row r="16" spans="1:17">
      <c r="A16" s="114"/>
      <c r="B16" s="13"/>
      <c r="C16" s="12"/>
      <c r="D16" s="490" t="s">
        <v>637</v>
      </c>
      <c r="E16" s="491">
        <f t="shared" si="0"/>
        <v>13219779.93</v>
      </c>
      <c r="F16" s="492">
        <f t="shared" si="2"/>
        <v>1.1680895184604221E-2</v>
      </c>
      <c r="G16" s="493">
        <f t="shared" si="1"/>
        <v>1174</v>
      </c>
      <c r="H16" s="494">
        <f t="shared" si="3"/>
        <v>1.7126934803857206E-2</v>
      </c>
      <c r="K16" s="119"/>
      <c r="M16" s="495"/>
      <c r="N16" s="496"/>
      <c r="O16" s="497"/>
      <c r="P16" s="498"/>
      <c r="Q16" s="497"/>
    </row>
    <row r="17" spans="1:17">
      <c r="A17" s="114"/>
      <c r="B17" s="13"/>
      <c r="C17" s="12"/>
      <c r="D17" s="490" t="s">
        <v>638</v>
      </c>
      <c r="E17" s="491">
        <f t="shared" si="0"/>
        <v>11710353.499999991</v>
      </c>
      <c r="F17" s="492">
        <f t="shared" si="2"/>
        <v>1.0347177678635008E-2</v>
      </c>
      <c r="G17" s="493">
        <f t="shared" si="1"/>
        <v>936</v>
      </c>
      <c r="H17" s="494">
        <f t="shared" si="3"/>
        <v>1.3654864545494333E-2</v>
      </c>
      <c r="K17" s="119"/>
      <c r="M17" s="495"/>
      <c r="N17" s="496"/>
      <c r="O17" s="497"/>
      <c r="P17" s="498"/>
      <c r="Q17" s="497"/>
    </row>
    <row r="18" spans="1:17">
      <c r="A18" s="114"/>
      <c r="B18" s="13"/>
      <c r="C18" s="12"/>
      <c r="D18" s="490" t="s">
        <v>639</v>
      </c>
      <c r="E18" s="491">
        <f t="shared" si="0"/>
        <v>22890754.150000043</v>
      </c>
      <c r="F18" s="492">
        <f t="shared" si="2"/>
        <v>2.0226093122466569E-2</v>
      </c>
      <c r="G18" s="493">
        <f t="shared" si="1"/>
        <v>1633</v>
      </c>
      <c r="H18" s="494">
        <f t="shared" si="3"/>
        <v>2.3823070302128466E-2</v>
      </c>
      <c r="K18" s="119"/>
      <c r="M18" s="495"/>
      <c r="N18" s="496"/>
      <c r="O18" s="497"/>
      <c r="P18" s="498"/>
      <c r="Q18" s="497"/>
    </row>
    <row r="19" spans="1:17">
      <c r="A19" s="114"/>
      <c r="B19" s="13"/>
      <c r="C19" s="12"/>
      <c r="D19" s="490" t="s">
        <v>640</v>
      </c>
      <c r="E19" s="491">
        <f t="shared" si="0"/>
        <v>57861115.320000067</v>
      </c>
      <c r="F19" s="492">
        <f t="shared" si="2"/>
        <v>5.1125633474688133E-2</v>
      </c>
      <c r="G19" s="493">
        <f t="shared" si="1"/>
        <v>3203</v>
      </c>
      <c r="H19" s="494">
        <f t="shared" si="3"/>
        <v>4.6727063182925584E-2</v>
      </c>
      <c r="K19" s="119"/>
      <c r="M19" s="495"/>
      <c r="N19" s="496"/>
      <c r="O19" s="497"/>
      <c r="P19" s="498"/>
      <c r="Q19" s="497"/>
    </row>
    <row r="20" spans="1:17">
      <c r="A20" s="114"/>
      <c r="B20" s="13"/>
      <c r="C20" s="12"/>
      <c r="D20" s="490" t="s">
        <v>641</v>
      </c>
      <c r="E20" s="491">
        <f t="shared" si="0"/>
        <v>106058662.96999988</v>
      </c>
      <c r="F20" s="492">
        <f t="shared" si="2"/>
        <v>9.3712613381744372E-2</v>
      </c>
      <c r="G20" s="493">
        <f t="shared" si="1"/>
        <v>5561</v>
      </c>
      <c r="H20" s="494">
        <f t="shared" si="3"/>
        <v>8.1126818095613229E-2</v>
      </c>
      <c r="K20" s="119"/>
      <c r="M20" s="495"/>
      <c r="N20" s="496"/>
      <c r="O20" s="497"/>
      <c r="P20" s="498"/>
      <c r="Q20" s="497"/>
    </row>
    <row r="21" spans="1:17">
      <c r="A21" s="114"/>
      <c r="B21" s="13"/>
      <c r="C21" s="12"/>
      <c r="D21" s="105" t="s">
        <v>642</v>
      </c>
      <c r="E21" s="491">
        <f t="shared" si="0"/>
        <v>208494314.20999977</v>
      </c>
      <c r="F21" s="492">
        <f t="shared" si="2"/>
        <v>0.18422396165205646</v>
      </c>
      <c r="G21" s="493">
        <f t="shared" si="1"/>
        <v>10330</v>
      </c>
      <c r="H21" s="494">
        <f t="shared" si="3"/>
        <v>0.15069952003734663</v>
      </c>
      <c r="I21" s="499"/>
      <c r="K21" s="119"/>
      <c r="M21" s="495"/>
      <c r="N21" s="496"/>
      <c r="O21" s="497"/>
      <c r="P21" s="498"/>
      <c r="Q21" s="497"/>
    </row>
    <row r="22" spans="1:17">
      <c r="A22" s="114"/>
      <c r="B22" s="13"/>
      <c r="C22" s="12"/>
      <c r="D22" s="490" t="s">
        <v>643</v>
      </c>
      <c r="E22" s="491">
        <f t="shared" si="0"/>
        <v>288452718.26000035</v>
      </c>
      <c r="F22" s="492">
        <f t="shared" si="2"/>
        <v>0.25487458834794963</v>
      </c>
      <c r="G22" s="493">
        <f t="shared" si="1"/>
        <v>16399</v>
      </c>
      <c r="H22" s="494">
        <f t="shared" si="3"/>
        <v>0.23923731162559994</v>
      </c>
      <c r="K22" s="119"/>
      <c r="M22" s="495"/>
      <c r="N22" s="496"/>
      <c r="O22" s="497"/>
      <c r="P22" s="498"/>
      <c r="Q22" s="497"/>
    </row>
    <row r="23" spans="1:17">
      <c r="A23" s="114"/>
      <c r="B23" s="13"/>
      <c r="C23" s="12"/>
      <c r="D23" s="490" t="s">
        <v>644</v>
      </c>
      <c r="E23" s="491">
        <f t="shared" si="0"/>
        <v>247574261.23999971</v>
      </c>
      <c r="F23" s="492">
        <f t="shared" si="2"/>
        <v>0.21875470024940574</v>
      </c>
      <c r="G23" s="493">
        <f t="shared" si="1"/>
        <v>16000</v>
      </c>
      <c r="H23" s="494">
        <f t="shared" si="3"/>
        <v>0.23341648795716807</v>
      </c>
      <c r="K23" s="119"/>
      <c r="M23" s="495"/>
      <c r="N23" s="496"/>
      <c r="O23" s="497"/>
      <c r="P23" s="498"/>
      <c r="Q23" s="497"/>
    </row>
    <row r="24" spans="1:17" ht="12.75" customHeight="1">
      <c r="A24" s="114"/>
      <c r="B24" s="13"/>
      <c r="C24" s="12"/>
      <c r="D24" s="500" t="s">
        <v>645</v>
      </c>
      <c r="E24" s="491">
        <f t="shared" si="0"/>
        <v>101400068.0400005</v>
      </c>
      <c r="F24" s="492">
        <f t="shared" si="2"/>
        <v>8.9596314973375071E-2</v>
      </c>
      <c r="G24" s="493">
        <f t="shared" si="1"/>
        <v>7280</v>
      </c>
      <c r="H24" s="494">
        <f t="shared" si="3"/>
        <v>0.10620450202051147</v>
      </c>
      <c r="I24" s="501"/>
      <c r="K24" s="119"/>
      <c r="M24" s="502"/>
      <c r="N24" s="496"/>
      <c r="O24" s="497"/>
      <c r="P24" s="498"/>
      <c r="Q24" s="497"/>
    </row>
    <row r="25" spans="1:17">
      <c r="A25" s="114"/>
      <c r="B25" s="13"/>
      <c r="C25" s="12"/>
      <c r="D25" s="500" t="s">
        <v>646</v>
      </c>
      <c r="E25" s="491">
        <f t="shared" si="0"/>
        <v>53627426.120000064</v>
      </c>
      <c r="F25" s="492">
        <f t="shared" si="2"/>
        <v>4.7384778479275892E-2</v>
      </c>
      <c r="G25" s="493">
        <f t="shared" si="1"/>
        <v>4080</v>
      </c>
      <c r="H25" s="494">
        <f t="shared" si="3"/>
        <v>5.9521204429077858E-2</v>
      </c>
      <c r="K25" s="119"/>
      <c r="M25" s="502"/>
      <c r="N25" s="496"/>
      <c r="O25" s="497"/>
      <c r="P25" s="498"/>
      <c r="Q25" s="497"/>
    </row>
    <row r="26" spans="1:17">
      <c r="A26" s="114"/>
      <c r="B26" s="13"/>
      <c r="C26" s="12"/>
      <c r="D26" s="500" t="s">
        <v>647</v>
      </c>
      <c r="E26" s="491">
        <f t="shared" si="0"/>
        <v>13601290.039999992</v>
      </c>
      <c r="F26" s="492">
        <f t="shared" si="2"/>
        <v>1.2017994563744697E-2</v>
      </c>
      <c r="G26" s="493">
        <f t="shared" si="1"/>
        <v>1120</v>
      </c>
      <c r="H26" s="494">
        <f t="shared" si="3"/>
        <v>1.6339154157001764E-2</v>
      </c>
      <c r="K26" s="119"/>
      <c r="M26" s="502"/>
      <c r="N26" s="496"/>
      <c r="O26" s="497"/>
      <c r="P26" s="498"/>
      <c r="Q26" s="497"/>
    </row>
    <row r="27" spans="1:17" ht="13" thickBot="1">
      <c r="A27" s="114"/>
      <c r="B27" s="13"/>
      <c r="C27" s="12"/>
      <c r="D27" s="500" t="s">
        <v>648</v>
      </c>
      <c r="E27" s="491">
        <f t="shared" si="0"/>
        <v>5969436.450000002</v>
      </c>
      <c r="F27" s="492">
        <f t="shared" si="2"/>
        <v>5.2745478255178443E-3</v>
      </c>
      <c r="G27" s="493">
        <f t="shared" si="1"/>
        <v>632</v>
      </c>
      <c r="H27" s="494">
        <f t="shared" si="3"/>
        <v>9.2199512743081392E-3</v>
      </c>
      <c r="K27" s="119"/>
      <c r="M27" s="502"/>
      <c r="N27" s="496"/>
      <c r="O27" s="497"/>
      <c r="P27" s="498"/>
      <c r="Q27" s="497"/>
    </row>
    <row r="28" spans="1:17" ht="14" thickTop="1" thickBot="1">
      <c r="A28" s="114"/>
      <c r="B28" s="13"/>
      <c r="C28" s="12"/>
      <c r="D28" s="465" t="s">
        <v>36</v>
      </c>
      <c r="E28" s="482">
        <f>SUM(E14:E27)</f>
        <v>1131743733.7700005</v>
      </c>
      <c r="F28" s="789">
        <f>SUM(F14:F27)</f>
        <v>0.99999999999999989</v>
      </c>
      <c r="G28" s="503">
        <f>SUM(G14:G27)</f>
        <v>68547</v>
      </c>
      <c r="H28" s="790">
        <f>SUM(H14:H27)</f>
        <v>0.99999999999999989</v>
      </c>
      <c r="K28" s="119"/>
      <c r="M28" s="32"/>
      <c r="N28" s="436"/>
      <c r="O28" s="504"/>
      <c r="P28" s="505"/>
      <c r="Q28" s="504"/>
    </row>
    <row r="29" spans="1:17">
      <c r="A29" s="114"/>
      <c r="B29" s="13"/>
      <c r="C29" s="12"/>
      <c r="E29" s="197"/>
      <c r="J29" s="111"/>
      <c r="K29" s="119"/>
      <c r="N29" s="197"/>
    </row>
    <row r="30" spans="1:17">
      <c r="A30" s="114"/>
      <c r="B30" s="13"/>
      <c r="C30" s="12"/>
      <c r="E30" s="220"/>
      <c r="G30" s="506"/>
      <c r="J30" s="111"/>
      <c r="K30" s="119"/>
      <c r="N30" s="220"/>
      <c r="P30" s="506"/>
    </row>
    <row r="31" spans="1:17" ht="13.5" thickBot="1">
      <c r="A31" s="114"/>
      <c r="B31" s="13"/>
      <c r="C31" s="12"/>
      <c r="D31" s="144" t="s">
        <v>70</v>
      </c>
      <c r="E31" s="144" t="s">
        <v>8</v>
      </c>
      <c r="J31" s="111"/>
      <c r="K31" s="119"/>
      <c r="M31" s="144"/>
      <c r="N31" s="144"/>
    </row>
    <row r="32" spans="1:17" ht="13" thickBot="1">
      <c r="A32" s="114"/>
      <c r="B32" s="13"/>
      <c r="C32" s="12"/>
      <c r="D32" s="453" t="s">
        <v>65</v>
      </c>
      <c r="E32" s="776">
        <f>VLOOKUP(CONCATENATE("interest_",D32),Assets_Daten,3,0)</f>
        <v>8.641114862172769E-2</v>
      </c>
      <c r="G32" s="507"/>
      <c r="H32" s="507"/>
      <c r="J32" s="111"/>
      <c r="K32" s="119"/>
      <c r="M32" s="508"/>
      <c r="N32" s="509"/>
      <c r="P32" s="507"/>
      <c r="Q32" s="507"/>
    </row>
    <row r="33" spans="1:17">
      <c r="A33" s="114"/>
      <c r="B33" s="13"/>
      <c r="C33" s="12"/>
      <c r="D33" s="510"/>
      <c r="E33" s="509"/>
      <c r="G33" s="511"/>
      <c r="H33" s="511"/>
      <c r="J33" s="111"/>
      <c r="K33" s="119"/>
      <c r="M33" s="510"/>
      <c r="N33" s="509"/>
      <c r="P33" s="511"/>
      <c r="Q33" s="511"/>
    </row>
    <row r="34" spans="1:17" ht="14.5">
      <c r="A34" s="114"/>
      <c r="B34" s="13"/>
      <c r="C34" s="12"/>
      <c r="D34" s="489" t="s">
        <v>536</v>
      </c>
      <c r="E34" s="509"/>
      <c r="J34" s="111"/>
      <c r="K34" s="119"/>
      <c r="M34" s="99"/>
      <c r="N34" s="509"/>
    </row>
    <row r="35" spans="1:17">
      <c r="A35" s="114"/>
      <c r="B35" s="13"/>
      <c r="C35" s="12"/>
      <c r="D35" s="99"/>
      <c r="E35" s="509"/>
      <c r="J35" s="111"/>
      <c r="K35" s="119"/>
      <c r="M35" s="99"/>
      <c r="N35" s="509"/>
    </row>
    <row r="36" spans="1:17">
      <c r="A36" s="114"/>
      <c r="B36" s="13"/>
      <c r="C36" s="12"/>
      <c r="D36" s="99"/>
      <c r="E36" s="509"/>
      <c r="J36" s="111"/>
      <c r="K36" s="119"/>
      <c r="M36" s="99"/>
      <c r="N36" s="509"/>
    </row>
    <row r="37" spans="1:17">
      <c r="A37" s="114"/>
      <c r="B37" s="13"/>
      <c r="C37" s="12"/>
      <c r="J37" s="111"/>
      <c r="K37" s="119"/>
    </row>
    <row r="38" spans="1:17" ht="12" customHeight="1">
      <c r="A38" s="114"/>
      <c r="B38" s="13"/>
      <c r="C38" s="12"/>
      <c r="D38" s="135"/>
      <c r="K38" s="119"/>
      <c r="M38" s="135"/>
    </row>
    <row r="39" spans="1:17">
      <c r="A39" s="114"/>
      <c r="B39" s="13"/>
      <c r="C39" s="12"/>
      <c r="I39" s="111"/>
      <c r="K39" s="119"/>
    </row>
    <row r="40" spans="1:17" ht="14.5">
      <c r="A40" s="114"/>
      <c r="B40" s="13"/>
      <c r="C40" s="12"/>
      <c r="D40" s="201"/>
      <c r="E40" s="204"/>
      <c r="F40" s="202"/>
      <c r="G40" s="439"/>
      <c r="H40" s="439"/>
      <c r="I40" s="111"/>
      <c r="K40" s="119"/>
      <c r="M40" s="201"/>
      <c r="N40" s="204"/>
      <c r="O40" s="202"/>
      <c r="P40" s="439"/>
      <c r="Q40" s="439"/>
    </row>
    <row r="41" spans="1:17">
      <c r="A41" s="114"/>
      <c r="B41" s="13"/>
      <c r="C41" s="12"/>
      <c r="D41" s="512"/>
      <c r="E41" s="496"/>
      <c r="F41" s="497"/>
      <c r="G41" s="498"/>
      <c r="H41" s="497"/>
      <c r="I41" s="111"/>
      <c r="K41" s="119"/>
      <c r="M41" s="512"/>
      <c r="N41" s="496"/>
      <c r="O41" s="497"/>
      <c r="P41" s="498"/>
      <c r="Q41" s="497"/>
    </row>
    <row r="42" spans="1:17">
      <c r="A42" s="114"/>
      <c r="B42" s="13"/>
      <c r="C42" s="12"/>
      <c r="D42" s="512"/>
      <c r="E42" s="496"/>
      <c r="F42" s="497"/>
      <c r="G42" s="498"/>
      <c r="H42" s="497"/>
      <c r="I42" s="111"/>
      <c r="K42" s="119"/>
      <c r="M42" s="512"/>
      <c r="N42" s="496"/>
      <c r="O42" s="497"/>
      <c r="P42" s="498"/>
      <c r="Q42" s="497"/>
    </row>
    <row r="43" spans="1:17" ht="15" customHeight="1">
      <c r="A43" s="114"/>
      <c r="B43" s="13"/>
      <c r="C43" s="12"/>
      <c r="D43" s="32"/>
      <c r="E43" s="436"/>
      <c r="F43" s="504"/>
      <c r="G43" s="505"/>
      <c r="H43" s="504"/>
      <c r="I43" s="111"/>
      <c r="K43" s="119"/>
      <c r="M43" s="32"/>
      <c r="N43" s="436"/>
      <c r="O43" s="504"/>
      <c r="P43" s="505"/>
      <c r="Q43" s="504"/>
    </row>
    <row r="44" spans="1:17">
      <c r="A44" s="114"/>
      <c r="B44" s="13"/>
      <c r="C44" s="12"/>
      <c r="D44" s="184"/>
      <c r="E44" s="12"/>
      <c r="F44" s="185"/>
      <c r="G44" s="186"/>
      <c r="H44" s="185"/>
      <c r="I44" s="111"/>
      <c r="K44" s="119"/>
      <c r="M44" s="184"/>
      <c r="N44" s="12"/>
      <c r="O44" s="185"/>
      <c r="P44" s="186"/>
      <c r="Q44" s="185"/>
    </row>
    <row r="45" spans="1:17">
      <c r="A45" s="114"/>
      <c r="B45" s="13"/>
      <c r="C45" s="12"/>
      <c r="D45" s="184"/>
      <c r="E45" s="12"/>
      <c r="F45" s="185"/>
      <c r="G45" s="186"/>
      <c r="H45" s="185"/>
      <c r="I45" s="111"/>
      <c r="K45" s="119"/>
      <c r="M45" s="184"/>
      <c r="N45" s="12"/>
      <c r="O45" s="185"/>
      <c r="P45" s="186"/>
      <c r="Q45" s="185"/>
    </row>
    <row r="46" spans="1:17">
      <c r="A46" s="114"/>
      <c r="B46" s="13"/>
      <c r="C46" s="12"/>
      <c r="D46" s="184"/>
      <c r="E46" s="12"/>
      <c r="F46" s="185"/>
      <c r="G46" s="186"/>
      <c r="H46" s="185"/>
      <c r="I46" s="111"/>
      <c r="K46" s="119"/>
      <c r="M46" s="184"/>
      <c r="N46" s="12"/>
      <c r="O46" s="185"/>
      <c r="P46" s="186"/>
      <c r="Q46" s="185"/>
    </row>
    <row r="47" spans="1:17">
      <c r="A47" s="150"/>
      <c r="B47" s="26"/>
      <c r="C47" s="10"/>
      <c r="D47" s="312"/>
      <c r="E47" s="10"/>
      <c r="F47" s="290"/>
      <c r="G47" s="313"/>
      <c r="H47" s="290"/>
      <c r="I47" s="349"/>
      <c r="J47" s="51"/>
      <c r="K47" s="152"/>
      <c r="M47" s="184"/>
      <c r="N47" s="12"/>
      <c r="O47" s="185"/>
      <c r="P47" s="186"/>
      <c r="Q47" s="185"/>
    </row>
    <row r="48" spans="1:17">
      <c r="B48" s="13"/>
      <c r="C48" s="12"/>
      <c r="D48" s="184"/>
      <c r="E48" s="12"/>
      <c r="F48" s="185"/>
      <c r="G48" s="186"/>
      <c r="H48" s="185"/>
      <c r="I48" s="111"/>
      <c r="M48" s="184"/>
      <c r="N48" s="12"/>
      <c r="O48" s="185"/>
      <c r="P48" s="186"/>
      <c r="Q48" s="185"/>
    </row>
    <row r="49" spans="2:17">
      <c r="B49" s="13"/>
      <c r="C49" s="12"/>
      <c r="D49" s="184"/>
      <c r="E49" s="12"/>
      <c r="F49" s="185"/>
      <c r="G49" s="186"/>
      <c r="H49" s="185"/>
      <c r="I49" s="111"/>
      <c r="M49" s="184"/>
      <c r="N49" s="12"/>
      <c r="O49" s="185"/>
      <c r="P49" s="186"/>
      <c r="Q49" s="185"/>
    </row>
    <row r="50" spans="2:17">
      <c r="B50" s="13"/>
      <c r="C50" s="12"/>
      <c r="D50" s="184"/>
      <c r="E50" s="12"/>
      <c r="F50" s="185"/>
      <c r="G50" s="186"/>
      <c r="H50" s="185"/>
      <c r="I50" s="111"/>
      <c r="M50" s="184"/>
      <c r="N50" s="12"/>
      <c r="O50" s="185"/>
      <c r="P50" s="186"/>
      <c r="Q50" s="185"/>
    </row>
    <row r="51" spans="2:17">
      <c r="B51" s="13"/>
      <c r="C51" s="12"/>
      <c r="D51" s="184"/>
      <c r="E51" s="12"/>
      <c r="F51" s="185"/>
      <c r="G51" s="186"/>
      <c r="H51" s="185"/>
      <c r="I51" s="111"/>
      <c r="M51" s="184"/>
      <c r="N51" s="12"/>
      <c r="O51" s="185"/>
      <c r="P51" s="186"/>
      <c r="Q51" s="185"/>
    </row>
    <row r="52" spans="2:17">
      <c r="B52" s="13"/>
      <c r="C52" s="12"/>
      <c r="D52" s="184"/>
      <c r="E52" s="12"/>
      <c r="F52" s="185"/>
      <c r="G52" s="186"/>
      <c r="H52" s="185"/>
      <c r="I52" s="111"/>
      <c r="M52" s="184"/>
      <c r="N52" s="12"/>
      <c r="O52" s="185"/>
      <c r="P52" s="186"/>
      <c r="Q52" s="185"/>
    </row>
    <row r="53" spans="2:17">
      <c r="B53" s="13"/>
      <c r="C53" s="12"/>
      <c r="D53" s="184"/>
      <c r="E53" s="12"/>
      <c r="F53" s="185"/>
      <c r="G53" s="186"/>
      <c r="H53" s="185"/>
      <c r="I53" s="111"/>
      <c r="M53" s="184"/>
      <c r="N53" s="12"/>
      <c r="O53" s="185"/>
      <c r="P53" s="186"/>
      <c r="Q53" s="185"/>
    </row>
    <row r="54" spans="2:17">
      <c r="B54" s="13"/>
      <c r="C54" s="12"/>
      <c r="D54" s="184"/>
      <c r="E54" s="12"/>
      <c r="F54" s="185"/>
      <c r="G54" s="186"/>
      <c r="H54" s="185"/>
      <c r="I54" s="111"/>
      <c r="M54" s="184"/>
      <c r="N54" s="12"/>
      <c r="O54" s="185"/>
      <c r="P54" s="186"/>
      <c r="Q54" s="185"/>
    </row>
    <row r="55" spans="2:17">
      <c r="B55" s="13"/>
      <c r="C55" s="12"/>
      <c r="D55" s="184"/>
      <c r="E55" s="12"/>
      <c r="F55" s="185"/>
      <c r="G55" s="186"/>
      <c r="H55" s="185"/>
      <c r="I55" s="111"/>
      <c r="M55" s="184"/>
      <c r="N55" s="12"/>
      <c r="O55" s="185"/>
      <c r="P55" s="186"/>
      <c r="Q55" s="185"/>
    </row>
    <row r="56" spans="2:17">
      <c r="B56" s="13"/>
      <c r="C56" s="12"/>
      <c r="D56" s="184"/>
      <c r="E56" s="12"/>
      <c r="F56" s="185"/>
      <c r="G56" s="186"/>
      <c r="H56" s="185"/>
      <c r="I56" s="111"/>
      <c r="M56" s="184"/>
      <c r="N56" s="12"/>
      <c r="O56" s="185"/>
      <c r="P56" s="186"/>
      <c r="Q56" s="185"/>
    </row>
    <row r="57" spans="2:17">
      <c r="B57" s="13"/>
      <c r="C57" s="12"/>
      <c r="D57" s="184"/>
      <c r="E57" s="12"/>
      <c r="F57" s="185"/>
      <c r="G57" s="186"/>
      <c r="H57" s="185"/>
      <c r="I57" s="111"/>
      <c r="M57" s="184"/>
      <c r="N57" s="12"/>
      <c r="O57" s="185"/>
      <c r="P57" s="186"/>
      <c r="Q57" s="185"/>
    </row>
    <row r="58" spans="2:17">
      <c r="B58" s="13"/>
      <c r="C58" s="12"/>
      <c r="D58" s="184"/>
      <c r="E58" s="12"/>
      <c r="F58" s="185"/>
      <c r="G58" s="186"/>
      <c r="H58" s="185"/>
      <c r="I58" s="111"/>
      <c r="M58" s="184"/>
      <c r="N58" s="12"/>
      <c r="O58" s="185"/>
      <c r="P58" s="186"/>
      <c r="Q58" s="185"/>
    </row>
    <row r="59" spans="2:17">
      <c r="B59" s="13"/>
      <c r="C59" s="12"/>
      <c r="D59" s="184"/>
      <c r="E59" s="12"/>
      <c r="F59" s="185"/>
      <c r="G59" s="186"/>
      <c r="H59" s="185"/>
      <c r="I59" s="111"/>
      <c r="M59" s="184"/>
      <c r="N59" s="12"/>
      <c r="O59" s="185"/>
      <c r="P59" s="186"/>
      <c r="Q59" s="185"/>
    </row>
    <row r="60" spans="2:17">
      <c r="B60" s="13"/>
      <c r="C60" s="12"/>
      <c r="D60" s="184"/>
      <c r="E60" s="12"/>
      <c r="F60" s="185"/>
      <c r="G60" s="186"/>
      <c r="H60" s="185"/>
      <c r="I60" s="111"/>
      <c r="M60" s="184"/>
      <c r="N60" s="12"/>
      <c r="O60" s="185"/>
      <c r="P60" s="186"/>
      <c r="Q60" s="185"/>
    </row>
    <row r="61" spans="2:17">
      <c r="B61" s="13"/>
      <c r="C61" s="12"/>
      <c r="D61" s="184"/>
      <c r="E61" s="12"/>
      <c r="F61" s="185"/>
      <c r="G61" s="186"/>
      <c r="H61" s="185"/>
      <c r="I61" s="111"/>
      <c r="M61" s="184"/>
      <c r="N61" s="12"/>
      <c r="O61" s="185"/>
      <c r="P61" s="186"/>
      <c r="Q61" s="185"/>
    </row>
    <row r="62" spans="2:17">
      <c r="B62" s="13"/>
      <c r="C62" s="12"/>
      <c r="D62" s="184"/>
      <c r="E62" s="12"/>
      <c r="F62" s="185"/>
      <c r="G62" s="186"/>
      <c r="H62" s="185"/>
      <c r="I62" s="111"/>
      <c r="M62" s="184"/>
      <c r="N62" s="12"/>
      <c r="O62" s="185"/>
      <c r="P62" s="186"/>
      <c r="Q62" s="185"/>
    </row>
    <row r="63" spans="2:17">
      <c r="B63" s="13"/>
      <c r="C63" s="12"/>
      <c r="D63" s="184"/>
      <c r="E63" s="12"/>
      <c r="F63" s="185"/>
      <c r="G63" s="186"/>
      <c r="H63" s="185"/>
      <c r="I63" s="111"/>
      <c r="M63" s="184"/>
      <c r="N63" s="12"/>
      <c r="O63" s="185"/>
      <c r="P63" s="186"/>
      <c r="Q63" s="185"/>
    </row>
    <row r="64" spans="2: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7"/>
      <c r="E75" s="188"/>
      <c r="F75" s="219"/>
      <c r="G75" s="190"/>
      <c r="H75" s="219"/>
      <c r="I75" s="111"/>
      <c r="M75" s="187"/>
      <c r="N75" s="188"/>
      <c r="O75" s="219"/>
      <c r="P75" s="190"/>
      <c r="Q75" s="219"/>
    </row>
    <row r="76" spans="2:17">
      <c r="B76" s="13"/>
      <c r="C76" s="12"/>
      <c r="D76" s="187"/>
      <c r="E76" s="187"/>
      <c r="F76" s="187"/>
      <c r="G76" s="187"/>
      <c r="H76" s="187"/>
      <c r="I76" s="111"/>
      <c r="M76" s="187"/>
      <c r="N76" s="187"/>
      <c r="O76" s="187"/>
      <c r="P76" s="187"/>
      <c r="Q76" s="187"/>
    </row>
    <row r="77" spans="2:17">
      <c r="B77" s="13"/>
      <c r="C77" s="12"/>
      <c r="D77" s="187"/>
      <c r="E77" s="187"/>
      <c r="F77" s="187"/>
      <c r="G77" s="187"/>
      <c r="H77" s="187"/>
      <c r="I77" s="111"/>
      <c r="M77" s="187"/>
      <c r="N77" s="187"/>
      <c r="O77" s="187"/>
      <c r="P77" s="187"/>
      <c r="Q77" s="187"/>
    </row>
    <row r="78" spans="2:17">
      <c r="B78" s="13"/>
      <c r="C78" s="12"/>
      <c r="D78" s="191"/>
      <c r="E78" s="220"/>
      <c r="F78" s="187"/>
      <c r="G78" s="187"/>
      <c r="H78" s="187"/>
      <c r="I78" s="111"/>
      <c r="M78" s="191"/>
      <c r="N78" s="220"/>
      <c r="O78" s="187"/>
      <c r="P78" s="187"/>
      <c r="Q78" s="187"/>
    </row>
    <row r="79" spans="2:17">
      <c r="B79" s="13"/>
      <c r="C79" s="12"/>
      <c r="D79" s="188"/>
      <c r="E79" s="220"/>
      <c r="F79" s="187"/>
      <c r="G79" s="187"/>
      <c r="H79" s="187"/>
      <c r="I79" s="111"/>
      <c r="M79" s="188"/>
      <c r="N79" s="220"/>
      <c r="O79" s="187"/>
      <c r="P79" s="187"/>
      <c r="Q79" s="187"/>
    </row>
    <row r="80" spans="2:17">
      <c r="B80" s="13"/>
      <c r="C80" s="12"/>
      <c r="D80" s="187"/>
      <c r="E80" s="220"/>
      <c r="F80" s="187"/>
      <c r="G80" s="187"/>
      <c r="H80" s="187"/>
      <c r="I80" s="111"/>
      <c r="M80" s="187"/>
      <c r="N80" s="220"/>
      <c r="O80" s="187"/>
      <c r="P80" s="187"/>
      <c r="Q80" s="187"/>
    </row>
    <row r="81" spans="2:17" ht="14">
      <c r="B81" s="187"/>
      <c r="C81" s="188"/>
      <c r="D81" s="193"/>
      <c r="E81" s="193"/>
      <c r="F81" s="193"/>
      <c r="G81" s="193"/>
      <c r="H81" s="193"/>
      <c r="I81" s="111"/>
      <c r="M81" s="193"/>
      <c r="N81" s="193"/>
      <c r="O81" s="193"/>
      <c r="P81" s="193"/>
      <c r="Q81" s="193"/>
    </row>
    <row r="82" spans="2:17" ht="14">
      <c r="D82" s="193"/>
      <c r="E82" s="193"/>
      <c r="F82" s="193"/>
      <c r="G82" s="193"/>
      <c r="H82" s="193"/>
      <c r="I82" s="111"/>
      <c r="M82" s="193"/>
      <c r="N82" s="193"/>
      <c r="O82" s="193"/>
      <c r="P82" s="193"/>
      <c r="Q82" s="193"/>
    </row>
    <row r="83" spans="2:17" ht="14">
      <c r="D83" s="194"/>
      <c r="E83" s="221"/>
      <c r="F83" s="193"/>
      <c r="G83" s="193"/>
      <c r="H83" s="193"/>
      <c r="I83" s="111"/>
      <c r="M83" s="194"/>
      <c r="N83" s="221"/>
      <c r="O83" s="193"/>
      <c r="P83" s="193"/>
      <c r="Q83" s="193"/>
    </row>
    <row r="84" spans="2:17" ht="14">
      <c r="B84" s="191"/>
      <c r="C84" s="220"/>
      <c r="D84" s="196"/>
      <c r="E84" s="221"/>
      <c r="F84" s="193"/>
      <c r="G84" s="193"/>
      <c r="H84" s="193"/>
      <c r="I84" s="111"/>
      <c r="M84" s="196"/>
      <c r="N84" s="221"/>
      <c r="O84" s="193"/>
      <c r="P84" s="193"/>
      <c r="Q84" s="193"/>
    </row>
    <row r="85" spans="2:17" ht="14">
      <c r="B85" s="197"/>
      <c r="C85" s="220"/>
      <c r="D85" s="193"/>
      <c r="E85" s="221"/>
      <c r="F85" s="193"/>
      <c r="G85" s="193"/>
      <c r="H85" s="193"/>
      <c r="I85" s="111"/>
      <c r="M85" s="193"/>
      <c r="N85" s="221"/>
      <c r="O85" s="193"/>
      <c r="P85" s="193"/>
      <c r="Q85" s="193"/>
    </row>
    <row r="86" spans="2:17">
      <c r="C86" s="220"/>
      <c r="I86" s="111"/>
    </row>
    <row r="87" spans="2:17">
      <c r="I87" s="111"/>
    </row>
    <row r="88" spans="2:17">
      <c r="I88" s="111"/>
    </row>
    <row r="89" spans="2:17">
      <c r="I89" s="111"/>
    </row>
    <row r="90" spans="2:17">
      <c r="I90" s="111"/>
    </row>
    <row r="91" spans="2:17">
      <c r="I91" s="111"/>
    </row>
    <row r="92" spans="2:17">
      <c r="I92" s="111"/>
    </row>
    <row r="93" spans="2:17">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45911</v>
      </c>
      <c r="G2" s="116"/>
      <c r="H2" s="116"/>
      <c r="I2" s="116"/>
      <c r="J2" s="118"/>
      <c r="K2" s="321"/>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16</v>
      </c>
      <c r="G4" s="122"/>
      <c r="H4" s="127"/>
      <c r="I4" s="122"/>
      <c r="J4" s="128"/>
      <c r="K4" s="321"/>
    </row>
    <row r="5" spans="1:13" ht="18">
      <c r="A5" s="114"/>
      <c r="B5" s="129" t="s">
        <v>202</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489" t="s">
        <v>536</v>
      </c>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6.1796875" style="18" customWidth="1"/>
    <col min="4" max="4" width="18.81640625" style="18" customWidth="1"/>
    <col min="5" max="5" width="18.54296875" style="18" customWidth="1"/>
    <col min="6" max="6" width="19.54296875" style="18" customWidth="1"/>
    <col min="7" max="8" width="19" style="18" customWidth="1"/>
    <col min="9" max="9" width="9.1796875"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148</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
      <c r="A13" s="114"/>
      <c r="B13" s="438"/>
      <c r="D13" s="441" t="s">
        <v>77</v>
      </c>
      <c r="E13" s="470" t="s">
        <v>72</v>
      </c>
      <c r="F13" s="442" t="s">
        <v>114</v>
      </c>
      <c r="G13" s="443" t="s">
        <v>62</v>
      </c>
      <c r="H13" s="471" t="s">
        <v>115</v>
      </c>
      <c r="I13" s="111"/>
      <c r="K13" s="119"/>
      <c r="M13" s="201"/>
      <c r="N13" s="204"/>
      <c r="O13" s="202"/>
      <c r="P13" s="439"/>
      <c r="Q13" s="439"/>
    </row>
    <row r="14" spans="1:17">
      <c r="A14" s="114"/>
      <c r="B14" s="168"/>
      <c r="C14" s="168"/>
      <c r="D14" s="802" t="s">
        <v>649</v>
      </c>
      <c r="E14" s="473">
        <f>VLOOKUP(CONCATENATE("seasoning_",D14),Assets_Daten,3,0)</f>
        <v>0</v>
      </c>
      <c r="F14" s="474">
        <f>E14/$E$42</f>
        <v>0</v>
      </c>
      <c r="G14" s="475">
        <f t="shared" ref="G14:G41" si="0">VLOOKUP(CONCATENATE("seasoning_",D14),Assets_Daten,2,0)</f>
        <v>0</v>
      </c>
      <c r="H14" s="476">
        <f>G14/$G$42</f>
        <v>0</v>
      </c>
      <c r="I14" s="111"/>
      <c r="K14" s="119"/>
      <c r="M14" s="477"/>
      <c r="N14" s="469"/>
      <c r="O14" s="466"/>
      <c r="P14" s="467"/>
      <c r="Q14" s="466"/>
    </row>
    <row r="15" spans="1:17">
      <c r="A15" s="114"/>
      <c r="B15" s="13"/>
      <c r="C15" s="12"/>
      <c r="D15" s="472" t="s">
        <v>650</v>
      </c>
      <c r="E15" s="473">
        <f t="shared" ref="E15:E41" si="1">VLOOKUP(CONCATENATE("seasoning_",D15),Assets_Daten,3,0)</f>
        <v>0</v>
      </c>
      <c r="F15" s="474">
        <f t="shared" ref="F15:F41" si="2">E15/$E$42</f>
        <v>0</v>
      </c>
      <c r="G15" s="475">
        <f t="shared" si="0"/>
        <v>0</v>
      </c>
      <c r="H15" s="476">
        <f t="shared" ref="H15:H41" si="3">G15/$G$42</f>
        <v>0</v>
      </c>
      <c r="I15" s="111"/>
      <c r="K15" s="119"/>
      <c r="M15" s="477"/>
      <c r="N15" s="469"/>
      <c r="O15" s="466"/>
      <c r="P15" s="467"/>
      <c r="Q15" s="466"/>
    </row>
    <row r="16" spans="1:17">
      <c r="A16" s="114"/>
      <c r="B16" s="13"/>
      <c r="C16" s="12"/>
      <c r="D16" s="472" t="s">
        <v>651</v>
      </c>
      <c r="E16" s="473">
        <f t="shared" si="1"/>
        <v>0</v>
      </c>
      <c r="F16" s="474">
        <f t="shared" si="2"/>
        <v>0</v>
      </c>
      <c r="G16" s="475">
        <f t="shared" si="0"/>
        <v>0</v>
      </c>
      <c r="H16" s="476">
        <f t="shared" si="3"/>
        <v>0</v>
      </c>
      <c r="I16" s="111"/>
      <c r="K16" s="119"/>
      <c r="M16" s="477"/>
      <c r="N16" s="469"/>
      <c r="O16" s="466"/>
      <c r="P16" s="467"/>
      <c r="Q16" s="466"/>
    </row>
    <row r="17" spans="1:17">
      <c r="A17" s="114"/>
      <c r="B17" s="13"/>
      <c r="C17" s="12"/>
      <c r="D17" s="472" t="s">
        <v>652</v>
      </c>
      <c r="E17" s="473">
        <f t="shared" si="1"/>
        <v>12162454.799999997</v>
      </c>
      <c r="F17" s="474">
        <f t="shared" si="2"/>
        <v>1.074665088666771E-2</v>
      </c>
      <c r="G17" s="475">
        <f t="shared" si="0"/>
        <v>561</v>
      </c>
      <c r="H17" s="476">
        <f t="shared" si="3"/>
        <v>8.1841656089982062E-3</v>
      </c>
      <c r="I17" s="111"/>
      <c r="K17" s="119"/>
      <c r="M17" s="478"/>
      <c r="N17" s="469"/>
      <c r="O17" s="466"/>
      <c r="P17" s="467"/>
      <c r="Q17" s="466"/>
    </row>
    <row r="18" spans="1:17">
      <c r="A18" s="114"/>
      <c r="B18" s="13"/>
      <c r="C18" s="12"/>
      <c r="D18" s="472" t="s">
        <v>653</v>
      </c>
      <c r="E18" s="473">
        <f t="shared" si="1"/>
        <v>56718617.710000008</v>
      </c>
      <c r="F18" s="474">
        <f t="shared" si="2"/>
        <v>5.0116131432919167E-2</v>
      </c>
      <c r="G18" s="475">
        <f t="shared" si="0"/>
        <v>3365</v>
      </c>
      <c r="H18" s="476">
        <f t="shared" si="3"/>
        <v>4.9090405123491908E-2</v>
      </c>
      <c r="I18" s="111"/>
      <c r="K18" s="119"/>
      <c r="M18" s="478"/>
      <c r="N18" s="469"/>
      <c r="O18" s="466"/>
      <c r="P18" s="467"/>
      <c r="Q18" s="466"/>
    </row>
    <row r="19" spans="1:17">
      <c r="A19" s="114"/>
      <c r="B19" s="13"/>
      <c r="C19" s="12"/>
      <c r="D19" s="472" t="s">
        <v>654</v>
      </c>
      <c r="E19" s="473">
        <f t="shared" si="1"/>
        <v>125676599.70999999</v>
      </c>
      <c r="F19" s="474">
        <f t="shared" si="2"/>
        <v>0.11104687038235526</v>
      </c>
      <c r="G19" s="475">
        <f t="shared" si="0"/>
        <v>7277</v>
      </c>
      <c r="H19" s="476">
        <f t="shared" si="3"/>
        <v>0.10616073642901951</v>
      </c>
      <c r="I19" s="111"/>
      <c r="K19" s="119"/>
      <c r="M19" s="478"/>
      <c r="N19" s="469"/>
      <c r="O19" s="466"/>
      <c r="P19" s="467"/>
      <c r="Q19" s="466"/>
    </row>
    <row r="20" spans="1:17">
      <c r="A20" s="114"/>
      <c r="B20" s="13"/>
      <c r="C20" s="12"/>
      <c r="D20" s="472" t="s">
        <v>655</v>
      </c>
      <c r="E20" s="473">
        <f t="shared" si="1"/>
        <v>274029791.59999955</v>
      </c>
      <c r="F20" s="474">
        <f t="shared" si="2"/>
        <v>0.24213060202875356</v>
      </c>
      <c r="G20" s="475">
        <f t="shared" si="0"/>
        <v>15255</v>
      </c>
      <c r="H20" s="476">
        <f t="shared" si="3"/>
        <v>0.22254803273666243</v>
      </c>
      <c r="I20" s="111"/>
      <c r="K20" s="119"/>
      <c r="M20" s="478"/>
      <c r="N20" s="469"/>
      <c r="O20" s="466"/>
      <c r="P20" s="467"/>
      <c r="Q20" s="466"/>
    </row>
    <row r="21" spans="1:17">
      <c r="A21" s="114"/>
      <c r="B21" s="13"/>
      <c r="C21" s="12"/>
      <c r="D21" s="104" t="s">
        <v>656</v>
      </c>
      <c r="E21" s="473">
        <f t="shared" si="1"/>
        <v>188524713.75000027</v>
      </c>
      <c r="F21" s="474">
        <f t="shared" si="2"/>
        <v>0.16657897731140731</v>
      </c>
      <c r="G21" s="475">
        <f t="shared" si="0"/>
        <v>12079</v>
      </c>
      <c r="H21" s="476">
        <f t="shared" si="3"/>
        <v>0.17621485987716456</v>
      </c>
      <c r="I21" s="111"/>
      <c r="K21" s="119"/>
      <c r="M21" s="478"/>
      <c r="N21" s="469"/>
      <c r="O21" s="466"/>
      <c r="P21" s="467"/>
      <c r="Q21" s="466"/>
    </row>
    <row r="22" spans="1:17">
      <c r="A22" s="114"/>
      <c r="B22" s="13"/>
      <c r="C22" s="12"/>
      <c r="D22" s="472" t="s">
        <v>657</v>
      </c>
      <c r="E22" s="473">
        <f t="shared" si="1"/>
        <v>243410927.27000046</v>
      </c>
      <c r="F22" s="474">
        <f t="shared" si="2"/>
        <v>0.21507601059045747</v>
      </c>
      <c r="G22" s="475">
        <f t="shared" si="0"/>
        <v>14633</v>
      </c>
      <c r="H22" s="476">
        <f t="shared" si="3"/>
        <v>0.21347396676732752</v>
      </c>
      <c r="I22" s="111"/>
      <c r="K22" s="119"/>
      <c r="M22" s="479"/>
      <c r="N22" s="469"/>
      <c r="O22" s="466"/>
      <c r="P22" s="467"/>
      <c r="Q22" s="466"/>
    </row>
    <row r="23" spans="1:17">
      <c r="A23" s="114"/>
      <c r="B23" s="13"/>
      <c r="C23" s="12"/>
      <c r="D23" s="472" t="s">
        <v>658</v>
      </c>
      <c r="E23" s="473">
        <f t="shared" si="1"/>
        <v>85981397.929999769</v>
      </c>
      <c r="F23" s="474">
        <f t="shared" si="2"/>
        <v>7.5972497451859911E-2</v>
      </c>
      <c r="G23" s="475">
        <f t="shared" si="0"/>
        <v>5284</v>
      </c>
      <c r="H23" s="476">
        <f t="shared" si="3"/>
        <v>7.7085795147854755E-2</v>
      </c>
      <c r="I23" s="111"/>
      <c r="K23" s="119"/>
      <c r="M23" s="480"/>
      <c r="N23" s="469"/>
      <c r="O23" s="466"/>
      <c r="P23" s="467"/>
      <c r="Q23" s="466"/>
    </row>
    <row r="24" spans="1:17" ht="12.75" customHeight="1">
      <c r="A24" s="114"/>
      <c r="B24" s="13"/>
      <c r="C24" s="12"/>
      <c r="D24" s="472" t="s">
        <v>659</v>
      </c>
      <c r="E24" s="473">
        <f t="shared" si="1"/>
        <v>49791176.870000072</v>
      </c>
      <c r="F24" s="474">
        <f t="shared" si="2"/>
        <v>4.3995098346282457E-2</v>
      </c>
      <c r="G24" s="475">
        <f t="shared" si="0"/>
        <v>3039</v>
      </c>
      <c r="H24" s="476">
        <f t="shared" si="3"/>
        <v>4.4334544181364614E-2</v>
      </c>
      <c r="I24" s="111"/>
      <c r="K24" s="119"/>
      <c r="M24" s="480"/>
      <c r="N24" s="469"/>
      <c r="O24" s="466"/>
      <c r="P24" s="467"/>
      <c r="Q24" s="466"/>
    </row>
    <row r="25" spans="1:17" ht="12.75" customHeight="1">
      <c r="A25" s="114"/>
      <c r="B25" s="13"/>
      <c r="C25" s="12"/>
      <c r="D25" s="472" t="s">
        <v>660</v>
      </c>
      <c r="E25" s="473">
        <f t="shared" si="1"/>
        <v>33770497.100000039</v>
      </c>
      <c r="F25" s="474">
        <f t="shared" si="2"/>
        <v>2.9839349750588575E-2</v>
      </c>
      <c r="G25" s="475">
        <f t="shared" si="0"/>
        <v>2264</v>
      </c>
      <c r="H25" s="476">
        <f t="shared" si="3"/>
        <v>3.3028433045939283E-2</v>
      </c>
      <c r="I25" s="111"/>
      <c r="K25" s="119"/>
      <c r="M25" s="480"/>
      <c r="N25" s="469"/>
      <c r="O25" s="466"/>
      <c r="P25" s="467"/>
      <c r="Q25" s="466"/>
    </row>
    <row r="26" spans="1:17" ht="12.75" customHeight="1">
      <c r="A26" s="114"/>
      <c r="B26" s="13"/>
      <c r="C26" s="12"/>
      <c r="D26" s="472" t="s">
        <v>661</v>
      </c>
      <c r="E26" s="473">
        <f t="shared" si="1"/>
        <v>25610958.469999958</v>
      </c>
      <c r="F26" s="474">
        <f t="shared" si="2"/>
        <v>2.2629644596914349E-2</v>
      </c>
      <c r="G26" s="475">
        <f t="shared" si="0"/>
        <v>1881</v>
      </c>
      <c r="H26" s="476">
        <f t="shared" si="3"/>
        <v>2.7441025865464572E-2</v>
      </c>
      <c r="I26" s="111"/>
      <c r="K26" s="119"/>
      <c r="M26" s="480"/>
      <c r="N26" s="469"/>
      <c r="O26" s="466"/>
      <c r="P26" s="467"/>
      <c r="Q26" s="466"/>
    </row>
    <row r="27" spans="1:17" ht="12.75" customHeight="1">
      <c r="A27" s="114"/>
      <c r="B27" s="13"/>
      <c r="C27" s="12"/>
      <c r="D27" s="472" t="s">
        <v>662</v>
      </c>
      <c r="E27" s="473">
        <f t="shared" si="1"/>
        <v>17757004.579999991</v>
      </c>
      <c r="F27" s="474">
        <f t="shared" si="2"/>
        <v>1.5689951753343374E-2</v>
      </c>
      <c r="G27" s="475">
        <f t="shared" si="0"/>
        <v>1210</v>
      </c>
      <c r="H27" s="476">
        <f t="shared" si="3"/>
        <v>1.7652121901760836E-2</v>
      </c>
      <c r="I27" s="111"/>
      <c r="K27" s="119"/>
      <c r="M27" s="480"/>
      <c r="N27" s="469"/>
      <c r="O27" s="466"/>
      <c r="P27" s="467"/>
      <c r="Q27" s="466"/>
    </row>
    <row r="28" spans="1:17" ht="12.75" customHeight="1">
      <c r="A28" s="114"/>
      <c r="B28" s="13"/>
      <c r="C28" s="12"/>
      <c r="D28" s="472" t="s">
        <v>663</v>
      </c>
      <c r="E28" s="473">
        <f t="shared" si="1"/>
        <v>9445442.1799999978</v>
      </c>
      <c r="F28" s="474">
        <f t="shared" si="2"/>
        <v>8.3459195736263359E-3</v>
      </c>
      <c r="G28" s="475">
        <f t="shared" si="0"/>
        <v>757</v>
      </c>
      <c r="H28" s="476">
        <f t="shared" si="3"/>
        <v>1.1043517586473515E-2</v>
      </c>
      <c r="I28" s="111"/>
      <c r="K28" s="119"/>
      <c r="M28" s="480"/>
      <c r="N28" s="469"/>
      <c r="O28" s="466"/>
      <c r="P28" s="467"/>
      <c r="Q28" s="466"/>
    </row>
    <row r="29" spans="1:17" ht="12.75" customHeight="1">
      <c r="A29" s="114"/>
      <c r="B29" s="13"/>
      <c r="C29" s="12"/>
      <c r="D29" s="472" t="s">
        <v>664</v>
      </c>
      <c r="E29" s="473">
        <f t="shared" si="1"/>
        <v>5454894.6599999946</v>
      </c>
      <c r="F29" s="474">
        <f t="shared" si="2"/>
        <v>4.8199026840015811E-3</v>
      </c>
      <c r="G29" s="475">
        <f t="shared" si="0"/>
        <v>504</v>
      </c>
      <c r="H29" s="476">
        <f t="shared" si="3"/>
        <v>7.3526193706507943E-3</v>
      </c>
      <c r="I29" s="111"/>
      <c r="K29" s="119"/>
      <c r="M29" s="480"/>
      <c r="N29" s="469"/>
      <c r="O29" s="466"/>
      <c r="P29" s="467"/>
      <c r="Q29" s="466"/>
    </row>
    <row r="30" spans="1:17" ht="12.75" customHeight="1">
      <c r="A30" s="114"/>
      <c r="B30" s="13"/>
      <c r="C30" s="12"/>
      <c r="D30" s="472" t="s">
        <v>665</v>
      </c>
      <c r="E30" s="473">
        <f t="shared" si="1"/>
        <v>1233242.6300000004</v>
      </c>
      <c r="F30" s="474">
        <f t="shared" si="2"/>
        <v>1.0896836387968261E-3</v>
      </c>
      <c r="G30" s="475">
        <f t="shared" si="0"/>
        <v>106</v>
      </c>
      <c r="H30" s="476">
        <f t="shared" si="3"/>
        <v>1.5463842327162385E-3</v>
      </c>
      <c r="I30" s="111"/>
      <c r="K30" s="119"/>
      <c r="M30" s="480"/>
      <c r="N30" s="469"/>
      <c r="O30" s="466"/>
      <c r="P30" s="467"/>
      <c r="Q30" s="466"/>
    </row>
    <row r="31" spans="1:17" ht="12.75" customHeight="1">
      <c r="A31" s="114"/>
      <c r="B31" s="13"/>
      <c r="C31" s="12"/>
      <c r="D31" s="472" t="s">
        <v>666</v>
      </c>
      <c r="E31" s="473">
        <f t="shared" si="1"/>
        <v>624225.33000000007</v>
      </c>
      <c r="F31" s="474">
        <f t="shared" si="2"/>
        <v>5.5156066817407172E-4</v>
      </c>
      <c r="G31" s="475">
        <f t="shared" si="0"/>
        <v>73</v>
      </c>
      <c r="H31" s="476">
        <f t="shared" si="3"/>
        <v>1.0649627263045794E-3</v>
      </c>
      <c r="I31" s="111"/>
      <c r="K31" s="119"/>
      <c r="M31" s="480"/>
      <c r="N31" s="469"/>
      <c r="O31" s="466"/>
      <c r="P31" s="467"/>
      <c r="Q31" s="466"/>
    </row>
    <row r="32" spans="1:17" ht="12.75" customHeight="1">
      <c r="A32" s="114"/>
      <c r="B32" s="13"/>
      <c r="C32" s="12"/>
      <c r="D32" s="472" t="s">
        <v>667</v>
      </c>
      <c r="E32" s="473">
        <f t="shared" si="1"/>
        <v>406085.07</v>
      </c>
      <c r="F32" s="474">
        <f t="shared" si="2"/>
        <v>3.58813623511104E-4</v>
      </c>
      <c r="G32" s="475">
        <f t="shared" si="0"/>
        <v>54</v>
      </c>
      <c r="H32" s="476">
        <f t="shared" si="3"/>
        <v>7.8778064685544223E-4</v>
      </c>
      <c r="I32" s="111"/>
      <c r="K32" s="119"/>
      <c r="M32" s="480"/>
      <c r="N32" s="469"/>
      <c r="O32" s="466"/>
      <c r="P32" s="467"/>
      <c r="Q32" s="466"/>
    </row>
    <row r="33" spans="1:17" ht="12.75" customHeight="1">
      <c r="A33" s="114"/>
      <c r="B33" s="13"/>
      <c r="C33" s="12"/>
      <c r="D33" s="472" t="s">
        <v>668</v>
      </c>
      <c r="E33" s="473">
        <f t="shared" si="1"/>
        <v>497467.36</v>
      </c>
      <c r="F33" s="474">
        <f t="shared" si="2"/>
        <v>4.3955830737658696E-4</v>
      </c>
      <c r="G33" s="475">
        <f t="shared" si="0"/>
        <v>66</v>
      </c>
      <c r="H33" s="476">
        <f t="shared" si="3"/>
        <v>9.6284301282331826E-4</v>
      </c>
      <c r="I33" s="111"/>
      <c r="K33" s="119"/>
      <c r="M33" s="480"/>
      <c r="N33" s="469"/>
      <c r="O33" s="466"/>
      <c r="P33" s="467"/>
      <c r="Q33" s="466"/>
    </row>
    <row r="34" spans="1:17" ht="12.75" customHeight="1">
      <c r="A34" s="114"/>
      <c r="B34" s="13"/>
      <c r="C34" s="12"/>
      <c r="D34" s="472" t="s">
        <v>669</v>
      </c>
      <c r="E34" s="473">
        <f t="shared" si="1"/>
        <v>192342.63000000006</v>
      </c>
      <c r="F34" s="474">
        <f t="shared" si="2"/>
        <v>1.6995245854755411E-4</v>
      </c>
      <c r="G34" s="475">
        <f t="shared" si="0"/>
        <v>24</v>
      </c>
      <c r="H34" s="476">
        <f t="shared" si="3"/>
        <v>3.5012473193575213E-4</v>
      </c>
      <c r="I34" s="111"/>
      <c r="K34" s="119"/>
      <c r="M34" s="480"/>
      <c r="N34" s="469"/>
      <c r="O34" s="466"/>
      <c r="P34" s="467"/>
      <c r="Q34" s="466"/>
    </row>
    <row r="35" spans="1:17" ht="12.75" customHeight="1">
      <c r="A35" s="114"/>
      <c r="B35" s="13"/>
      <c r="C35" s="12"/>
      <c r="D35" s="472" t="s">
        <v>670</v>
      </c>
      <c r="E35" s="473">
        <f t="shared" si="1"/>
        <v>107686.01</v>
      </c>
      <c r="F35" s="474">
        <f t="shared" si="2"/>
        <v>9.5150524616807456E-5</v>
      </c>
      <c r="G35" s="475">
        <f t="shared" si="0"/>
        <v>26</v>
      </c>
      <c r="H35" s="476">
        <f t="shared" si="3"/>
        <v>3.7930179293039812E-4</v>
      </c>
      <c r="I35" s="111"/>
      <c r="K35" s="119"/>
      <c r="M35" s="480"/>
      <c r="N35" s="469"/>
      <c r="O35" s="466"/>
      <c r="P35" s="467"/>
      <c r="Q35" s="466"/>
    </row>
    <row r="36" spans="1:17" ht="12.75" customHeight="1">
      <c r="A36" s="114"/>
      <c r="B36" s="13"/>
      <c r="C36" s="12"/>
      <c r="D36" s="472" t="s">
        <v>671</v>
      </c>
      <c r="E36" s="473">
        <f t="shared" si="1"/>
        <v>132720.63</v>
      </c>
      <c r="F36" s="474">
        <f t="shared" si="2"/>
        <v>1.1727092100425297E-4</v>
      </c>
      <c r="G36" s="475">
        <f t="shared" si="0"/>
        <v>30</v>
      </c>
      <c r="H36" s="476">
        <f t="shared" si="3"/>
        <v>4.3765591491969015E-4</v>
      </c>
      <c r="I36" s="111"/>
      <c r="K36" s="119"/>
      <c r="M36" s="480"/>
      <c r="N36" s="469"/>
      <c r="O36" s="466"/>
      <c r="P36" s="467"/>
      <c r="Q36" s="466"/>
    </row>
    <row r="37" spans="1:17" ht="12.75" customHeight="1">
      <c r="A37" s="114"/>
      <c r="B37" s="13"/>
      <c r="C37" s="12"/>
      <c r="D37" s="472" t="s">
        <v>672</v>
      </c>
      <c r="E37" s="473">
        <f t="shared" si="1"/>
        <v>103614.45</v>
      </c>
      <c r="F37" s="474">
        <f t="shared" si="2"/>
        <v>9.1552925727139171E-5</v>
      </c>
      <c r="G37" s="475">
        <f t="shared" si="0"/>
        <v>24</v>
      </c>
      <c r="H37" s="476">
        <f t="shared" si="3"/>
        <v>3.5012473193575213E-4</v>
      </c>
      <c r="I37" s="111"/>
      <c r="K37" s="119"/>
      <c r="M37" s="480"/>
      <c r="N37" s="469"/>
      <c r="O37" s="466"/>
      <c r="P37" s="467"/>
      <c r="Q37" s="466"/>
    </row>
    <row r="38" spans="1:17" ht="12.75" customHeight="1">
      <c r="A38" s="114"/>
      <c r="B38" s="13"/>
      <c r="C38" s="12"/>
      <c r="D38" s="472" t="s">
        <v>673</v>
      </c>
      <c r="E38" s="473">
        <f t="shared" si="1"/>
        <v>26100.47</v>
      </c>
      <c r="F38" s="474">
        <f t="shared" si="2"/>
        <v>2.306217319450544E-5</v>
      </c>
      <c r="G38" s="475">
        <f t="shared" si="0"/>
        <v>7</v>
      </c>
      <c r="H38" s="476">
        <f t="shared" si="3"/>
        <v>1.0211971348126103E-4</v>
      </c>
      <c r="I38" s="111"/>
      <c r="K38" s="119"/>
      <c r="M38" s="480"/>
      <c r="N38" s="469"/>
      <c r="O38" s="466"/>
      <c r="P38" s="467"/>
      <c r="Q38" s="466"/>
    </row>
    <row r="39" spans="1:17" ht="12.75" customHeight="1">
      <c r="A39" s="114"/>
      <c r="B39" s="13"/>
      <c r="C39" s="12"/>
      <c r="D39" s="472" t="s">
        <v>674</v>
      </c>
      <c r="E39" s="473">
        <f t="shared" si="1"/>
        <v>36452.820000000007</v>
      </c>
      <c r="F39" s="474">
        <f t="shared" si="2"/>
        <v>3.2209429495642491E-5</v>
      </c>
      <c r="G39" s="475">
        <f t="shared" si="0"/>
        <v>8</v>
      </c>
      <c r="H39" s="476">
        <f t="shared" si="3"/>
        <v>1.1670824397858403E-4</v>
      </c>
      <c r="I39" s="111"/>
      <c r="K39" s="119"/>
      <c r="M39" s="480"/>
      <c r="N39" s="469"/>
      <c r="O39" s="466"/>
      <c r="P39" s="467"/>
      <c r="Q39" s="466"/>
    </row>
    <row r="40" spans="1:17" ht="12.75" customHeight="1">
      <c r="A40" s="114"/>
      <c r="B40" s="13"/>
      <c r="C40" s="12"/>
      <c r="D40" s="472" t="s">
        <v>675</v>
      </c>
      <c r="E40" s="473">
        <f t="shared" si="1"/>
        <v>24550.29</v>
      </c>
      <c r="F40" s="474">
        <f t="shared" si="2"/>
        <v>2.1692446149641558E-5</v>
      </c>
      <c r="G40" s="475">
        <f t="shared" si="0"/>
        <v>6</v>
      </c>
      <c r="H40" s="476">
        <f t="shared" si="3"/>
        <v>8.7531182983938033E-5</v>
      </c>
      <c r="I40" s="111"/>
      <c r="K40" s="119"/>
      <c r="M40" s="480"/>
      <c r="N40" s="469"/>
      <c r="O40" s="466"/>
      <c r="P40" s="467"/>
      <c r="Q40" s="466"/>
    </row>
    <row r="41" spans="1:17" ht="12.75" customHeight="1" thickBot="1">
      <c r="A41" s="114"/>
      <c r="B41" s="13"/>
      <c r="C41" s="12"/>
      <c r="D41" s="472" t="s">
        <v>676</v>
      </c>
      <c r="E41" s="473">
        <f t="shared" si="1"/>
        <v>24769.449999999997</v>
      </c>
      <c r="F41" s="474">
        <f t="shared" si="2"/>
        <v>2.1886094228672615E-5</v>
      </c>
      <c r="G41" s="475">
        <f t="shared" si="0"/>
        <v>14</v>
      </c>
      <c r="H41" s="476">
        <f t="shared" si="3"/>
        <v>2.0423942696252205E-4</v>
      </c>
      <c r="I41" s="111"/>
      <c r="K41" s="119"/>
      <c r="M41" s="480"/>
      <c r="N41" s="469"/>
      <c r="O41" s="466"/>
      <c r="P41" s="467"/>
      <c r="Q41" s="466"/>
    </row>
    <row r="42" spans="1:17" ht="14" thickTop="1" thickBot="1">
      <c r="A42" s="114"/>
      <c r="B42" s="13"/>
      <c r="C42" s="12"/>
      <c r="D42" s="481" t="s">
        <v>36</v>
      </c>
      <c r="E42" s="482">
        <f>SUM(E14:E41)</f>
        <v>1131743733.7700002</v>
      </c>
      <c r="F42" s="483">
        <f>SUM(F14:F41)</f>
        <v>0.99999999999999989</v>
      </c>
      <c r="G42" s="484">
        <f>SUM(G14:G41)</f>
        <v>68547</v>
      </c>
      <c r="H42" s="485">
        <f>SUM(H14:H41)</f>
        <v>1.0000000000000002</v>
      </c>
      <c r="I42" s="111"/>
      <c r="J42" s="111"/>
      <c r="K42" s="119"/>
      <c r="M42" s="32"/>
      <c r="N42" s="436"/>
      <c r="O42" s="486"/>
      <c r="P42" s="437"/>
      <c r="Q42" s="450"/>
    </row>
    <row r="43" spans="1:17" ht="13">
      <c r="A43" s="114"/>
      <c r="B43" s="13"/>
      <c r="C43" s="12"/>
      <c r="D43" s="487"/>
      <c r="E43" s="488"/>
      <c r="F43" s="486"/>
      <c r="G43" s="437"/>
      <c r="H43" s="214"/>
      <c r="I43" s="111"/>
      <c r="J43" s="111"/>
      <c r="K43" s="119"/>
      <c r="M43" s="32"/>
      <c r="N43" s="436"/>
      <c r="O43" s="486"/>
      <c r="P43" s="437"/>
      <c r="Q43" s="450"/>
    </row>
    <row r="44" spans="1:17" ht="13">
      <c r="A44" s="114"/>
      <c r="B44" s="13"/>
      <c r="C44" s="12"/>
      <c r="D44" s="32"/>
      <c r="E44" s="436"/>
      <c r="F44" s="486"/>
      <c r="G44" s="437"/>
      <c r="H44" s="214"/>
      <c r="I44" s="111"/>
      <c r="J44" s="111"/>
      <c r="K44" s="119"/>
      <c r="M44" s="32"/>
      <c r="N44" s="436"/>
      <c r="O44" s="486"/>
      <c r="P44" s="437"/>
      <c r="Q44" s="450"/>
    </row>
    <row r="45" spans="1:17" ht="13.5" thickBot="1">
      <c r="A45" s="114"/>
      <c r="B45" s="13"/>
      <c r="C45" s="12"/>
      <c r="D45" s="452" t="s">
        <v>70</v>
      </c>
      <c r="E45" s="452"/>
      <c r="I45" s="111"/>
      <c r="J45" s="111"/>
      <c r="K45" s="119"/>
      <c r="N45" s="451"/>
    </row>
    <row r="46" spans="1:17" ht="13" thickBot="1">
      <c r="A46" s="114"/>
      <c r="B46" s="13"/>
      <c r="C46" s="12"/>
      <c r="D46" s="453" t="s">
        <v>75</v>
      </c>
      <c r="E46" s="775">
        <f>VLOOKUP(CONCATENATE("seasoning_",D46),Assets_Daten,3,0)</f>
        <v>22.819727623124916</v>
      </c>
      <c r="I46" s="111"/>
      <c r="J46" s="111"/>
      <c r="K46" s="119"/>
      <c r="N46" s="451"/>
    </row>
    <row r="47" spans="1:17">
      <c r="A47" s="114"/>
      <c r="B47" s="13"/>
      <c r="C47" s="12"/>
      <c r="D47" s="188"/>
      <c r="E47" s="220"/>
      <c r="I47" s="111"/>
      <c r="J47" s="111"/>
      <c r="K47" s="119"/>
      <c r="N47" s="451"/>
    </row>
    <row r="48" spans="1:17">
      <c r="A48" s="114"/>
      <c r="B48" s="13"/>
      <c r="C48" s="12"/>
      <c r="D48" s="187"/>
      <c r="E48" s="220"/>
      <c r="I48" s="111"/>
      <c r="J48" s="111"/>
      <c r="K48" s="119"/>
      <c r="N48" s="451"/>
    </row>
    <row r="49" spans="1:17">
      <c r="A49" s="114"/>
      <c r="B49" s="13"/>
      <c r="C49" s="12"/>
      <c r="E49" s="451"/>
      <c r="I49" s="111"/>
      <c r="J49" s="111"/>
      <c r="K49" s="119"/>
      <c r="N49" s="451"/>
    </row>
    <row r="50" spans="1:17">
      <c r="A50" s="114"/>
      <c r="B50" s="13"/>
      <c r="C50" s="12"/>
      <c r="E50" s="451"/>
      <c r="I50" s="111"/>
      <c r="J50" s="111"/>
      <c r="K50" s="119"/>
      <c r="N50" s="451"/>
    </row>
    <row r="51" spans="1:17">
      <c r="A51" s="114"/>
      <c r="B51" s="13"/>
      <c r="C51" s="12"/>
      <c r="E51" s="451"/>
      <c r="I51" s="111"/>
      <c r="J51" s="111"/>
      <c r="K51" s="119"/>
      <c r="N51" s="451"/>
    </row>
    <row r="52" spans="1:17">
      <c r="A52" s="114"/>
      <c r="B52" s="13"/>
      <c r="C52" s="12"/>
      <c r="E52" s="451"/>
      <c r="I52" s="111"/>
      <c r="J52" s="111"/>
      <c r="K52" s="119"/>
      <c r="N52" s="451"/>
    </row>
    <row r="53" spans="1:17">
      <c r="A53" s="114"/>
      <c r="B53" s="13"/>
      <c r="C53" s="12"/>
      <c r="E53" s="451"/>
      <c r="I53" s="111"/>
      <c r="J53" s="111"/>
      <c r="K53" s="119"/>
      <c r="N53" s="451"/>
    </row>
    <row r="54" spans="1:17">
      <c r="A54" s="150"/>
      <c r="B54" s="26"/>
      <c r="C54" s="10"/>
      <c r="D54" s="312"/>
      <c r="E54" s="10"/>
      <c r="F54" s="290"/>
      <c r="G54" s="313"/>
      <c r="H54" s="290"/>
      <c r="I54" s="349"/>
      <c r="J54" s="51"/>
      <c r="K54" s="152"/>
      <c r="M54" s="184"/>
      <c r="N54" s="12"/>
      <c r="O54" s="185"/>
      <c r="P54" s="186"/>
      <c r="Q54" s="185"/>
    </row>
    <row r="55" spans="1:17">
      <c r="A55" s="44"/>
      <c r="B55" s="13"/>
      <c r="C55" s="12"/>
      <c r="D55" s="184"/>
      <c r="E55" s="12"/>
      <c r="F55" s="185"/>
      <c r="G55" s="186"/>
      <c r="H55" s="185"/>
      <c r="I55" s="111"/>
      <c r="M55" s="184"/>
      <c r="N55" s="12"/>
      <c r="O55" s="185"/>
      <c r="P55" s="186"/>
      <c r="Q55" s="185"/>
    </row>
    <row r="56" spans="1:17">
      <c r="B56" s="13"/>
      <c r="C56" s="12"/>
      <c r="D56" s="184"/>
      <c r="E56" s="12"/>
      <c r="F56" s="185"/>
      <c r="G56" s="186"/>
      <c r="H56" s="185"/>
      <c r="I56" s="111"/>
      <c r="M56" s="184"/>
      <c r="N56" s="12"/>
      <c r="O56" s="185"/>
      <c r="P56" s="186"/>
      <c r="Q56" s="185"/>
    </row>
    <row r="57" spans="1:17">
      <c r="B57" s="13"/>
      <c r="C57" s="12"/>
      <c r="D57" s="184"/>
      <c r="E57" s="12"/>
      <c r="F57" s="185"/>
      <c r="G57" s="186"/>
      <c r="H57" s="185"/>
      <c r="I57" s="111"/>
      <c r="M57" s="184"/>
      <c r="N57" s="12"/>
      <c r="O57" s="185"/>
      <c r="P57" s="186"/>
      <c r="Q57" s="185"/>
    </row>
    <row r="58" spans="1:17" ht="15" customHeight="1">
      <c r="B58" s="13"/>
      <c r="C58" s="12"/>
      <c r="D58" s="184"/>
      <c r="E58" s="12"/>
      <c r="F58" s="185"/>
      <c r="G58" s="186"/>
      <c r="H58" s="185"/>
      <c r="I58" s="111"/>
      <c r="M58" s="184"/>
      <c r="N58" s="12"/>
      <c r="O58" s="185"/>
      <c r="P58" s="186"/>
      <c r="Q58" s="185"/>
    </row>
    <row r="59" spans="1:17">
      <c r="B59" s="13"/>
      <c r="C59" s="12"/>
      <c r="D59" s="184"/>
      <c r="E59" s="12"/>
      <c r="F59" s="185"/>
      <c r="G59" s="186"/>
      <c r="H59" s="185"/>
      <c r="I59" s="111"/>
      <c r="M59" s="184"/>
      <c r="N59" s="12"/>
      <c r="O59" s="185"/>
      <c r="P59" s="186"/>
      <c r="Q59" s="185"/>
    </row>
    <row r="60" spans="1:17">
      <c r="B60" s="13"/>
      <c r="C60" s="12"/>
      <c r="D60" s="184"/>
      <c r="E60" s="12"/>
      <c r="F60" s="185"/>
      <c r="G60" s="186"/>
      <c r="H60" s="185"/>
      <c r="I60" s="111"/>
      <c r="M60" s="184"/>
      <c r="N60" s="12"/>
      <c r="O60" s="185"/>
      <c r="P60" s="186"/>
      <c r="Q60" s="185"/>
    </row>
    <row r="61" spans="1:17">
      <c r="B61" s="13"/>
      <c r="C61" s="12"/>
      <c r="D61" s="184"/>
      <c r="E61" s="12"/>
      <c r="F61" s="185"/>
      <c r="G61" s="186"/>
      <c r="H61" s="185"/>
      <c r="I61" s="111"/>
      <c r="M61" s="184"/>
      <c r="N61" s="12"/>
      <c r="O61" s="185"/>
      <c r="P61" s="186"/>
      <c r="Q61" s="185"/>
    </row>
    <row r="62" spans="1:17">
      <c r="B62" s="13"/>
      <c r="C62" s="12"/>
      <c r="D62" s="184"/>
      <c r="E62" s="12"/>
      <c r="F62" s="185"/>
      <c r="G62" s="186"/>
      <c r="H62" s="185"/>
      <c r="I62" s="111"/>
      <c r="M62" s="184"/>
      <c r="N62" s="12"/>
      <c r="O62" s="185"/>
      <c r="P62" s="186"/>
      <c r="Q62" s="185"/>
    </row>
    <row r="63" spans="1:17">
      <c r="B63" s="13"/>
      <c r="C63" s="12"/>
      <c r="D63" s="184"/>
      <c r="E63" s="12"/>
      <c r="F63" s="185"/>
      <c r="G63" s="186"/>
      <c r="H63" s="185"/>
      <c r="I63" s="111"/>
      <c r="M63" s="184"/>
      <c r="N63" s="12"/>
      <c r="O63" s="185"/>
      <c r="P63" s="186"/>
      <c r="Q63" s="185"/>
    </row>
    <row r="64" spans="1: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4"/>
      <c r="E81" s="12"/>
      <c r="F81" s="185"/>
      <c r="G81" s="186"/>
      <c r="H81" s="185"/>
      <c r="I81" s="111"/>
      <c r="M81" s="184"/>
      <c r="N81" s="12"/>
      <c r="O81" s="185"/>
      <c r="P81" s="186"/>
      <c r="Q81" s="185"/>
    </row>
    <row r="82" spans="2:17">
      <c r="B82" s="13"/>
      <c r="C82" s="12"/>
      <c r="D82" s="184"/>
      <c r="E82" s="12"/>
      <c r="F82" s="185"/>
      <c r="G82" s="186"/>
      <c r="H82" s="185"/>
      <c r="I82" s="111"/>
      <c r="M82" s="184"/>
      <c r="N82" s="12"/>
      <c r="O82" s="185"/>
      <c r="P82" s="186"/>
      <c r="Q82" s="185"/>
    </row>
    <row r="83" spans="2:17">
      <c r="B83" s="13"/>
      <c r="C83" s="12"/>
      <c r="D83" s="184"/>
      <c r="E83" s="12"/>
      <c r="F83" s="185"/>
      <c r="G83" s="186"/>
      <c r="H83" s="185"/>
      <c r="I83" s="111"/>
      <c r="M83" s="184"/>
      <c r="N83" s="12"/>
      <c r="O83" s="185"/>
      <c r="P83" s="186"/>
      <c r="Q83" s="185"/>
    </row>
    <row r="84" spans="2:17">
      <c r="B84" s="13"/>
      <c r="C84" s="12"/>
      <c r="D84" s="184"/>
      <c r="E84" s="12"/>
      <c r="F84" s="185"/>
      <c r="G84" s="186"/>
      <c r="H84" s="185"/>
      <c r="I84" s="111"/>
      <c r="M84" s="184"/>
      <c r="N84" s="12"/>
      <c r="O84" s="185"/>
      <c r="P84" s="186"/>
      <c r="Q84" s="185"/>
    </row>
    <row r="85" spans="2:17">
      <c r="B85" s="13"/>
      <c r="C85" s="12"/>
      <c r="D85" s="184"/>
      <c r="E85" s="12"/>
      <c r="F85" s="185"/>
      <c r="G85" s="186"/>
      <c r="H85" s="185"/>
      <c r="I85" s="111"/>
      <c r="M85" s="184"/>
      <c r="N85" s="12"/>
      <c r="O85" s="185"/>
      <c r="P85" s="186"/>
      <c r="Q85" s="185"/>
    </row>
    <row r="86" spans="2:17">
      <c r="B86" s="13"/>
      <c r="C86" s="12"/>
      <c r="D86" s="184"/>
      <c r="E86" s="12"/>
      <c r="F86" s="185"/>
      <c r="G86" s="186"/>
      <c r="H86" s="185"/>
      <c r="I86" s="111"/>
      <c r="M86" s="184"/>
      <c r="N86" s="12"/>
      <c r="O86" s="185"/>
      <c r="P86" s="186"/>
      <c r="Q86" s="185"/>
    </row>
    <row r="87" spans="2:17">
      <c r="B87" s="13"/>
      <c r="C87" s="12"/>
      <c r="D87" s="184"/>
      <c r="E87" s="12"/>
      <c r="F87" s="185"/>
      <c r="G87" s="186"/>
      <c r="H87" s="185"/>
      <c r="I87" s="111"/>
      <c r="M87" s="184"/>
      <c r="N87" s="12"/>
      <c r="O87" s="185"/>
      <c r="P87" s="186"/>
      <c r="Q87" s="185"/>
    </row>
    <row r="88" spans="2:17">
      <c r="B88" s="13"/>
      <c r="C88" s="12"/>
      <c r="D88" s="187"/>
      <c r="E88" s="188"/>
      <c r="F88" s="219"/>
      <c r="G88" s="190"/>
      <c r="H88" s="219"/>
      <c r="I88" s="111"/>
      <c r="M88" s="187"/>
      <c r="N88" s="188"/>
      <c r="O88" s="219"/>
      <c r="P88" s="190"/>
      <c r="Q88" s="219"/>
    </row>
    <row r="89" spans="2:17">
      <c r="B89" s="13"/>
      <c r="C89" s="12"/>
      <c r="D89" s="187"/>
      <c r="E89" s="187"/>
      <c r="F89" s="187"/>
      <c r="G89" s="187"/>
      <c r="H89" s="187"/>
      <c r="I89" s="111"/>
      <c r="M89" s="187"/>
      <c r="N89" s="187"/>
      <c r="O89" s="187"/>
      <c r="P89" s="187"/>
      <c r="Q89" s="187"/>
    </row>
    <row r="90" spans="2:17">
      <c r="B90" s="13"/>
      <c r="C90" s="12"/>
      <c r="D90" s="187"/>
      <c r="E90" s="187"/>
      <c r="F90" s="187"/>
      <c r="G90" s="187"/>
      <c r="H90" s="187"/>
      <c r="I90" s="111"/>
      <c r="M90" s="187"/>
      <c r="N90" s="187"/>
      <c r="O90" s="187"/>
      <c r="P90" s="187"/>
      <c r="Q90" s="187"/>
    </row>
    <row r="91" spans="2:17">
      <c r="B91" s="13"/>
      <c r="C91" s="12"/>
      <c r="D91" s="191"/>
      <c r="E91" s="220"/>
      <c r="F91" s="187"/>
      <c r="G91" s="187"/>
      <c r="H91" s="187"/>
      <c r="I91" s="111"/>
      <c r="M91" s="191"/>
      <c r="N91" s="220"/>
      <c r="O91" s="187"/>
      <c r="P91" s="187"/>
      <c r="Q91" s="187"/>
    </row>
    <row r="92" spans="2:17">
      <c r="B92" s="13"/>
      <c r="C92" s="12"/>
      <c r="D92" s="188"/>
      <c r="E92" s="220"/>
      <c r="F92" s="187"/>
      <c r="G92" s="187"/>
      <c r="H92" s="187"/>
      <c r="I92" s="111"/>
      <c r="M92" s="188"/>
      <c r="N92" s="220"/>
      <c r="O92" s="187"/>
      <c r="P92" s="187"/>
      <c r="Q92" s="187"/>
    </row>
    <row r="93" spans="2:17">
      <c r="B93" s="13"/>
      <c r="C93" s="12"/>
      <c r="D93" s="187"/>
      <c r="E93" s="220"/>
      <c r="F93" s="187"/>
      <c r="G93" s="187"/>
      <c r="H93" s="187"/>
      <c r="I93" s="111"/>
      <c r="M93" s="187"/>
      <c r="N93" s="220"/>
      <c r="O93" s="187"/>
      <c r="P93" s="187"/>
      <c r="Q93" s="187"/>
    </row>
    <row r="94" spans="2:17" ht="14">
      <c r="B94" s="187"/>
      <c r="C94" s="188"/>
      <c r="D94" s="193"/>
      <c r="E94" s="193"/>
      <c r="F94" s="193"/>
      <c r="G94" s="193"/>
      <c r="H94" s="193"/>
      <c r="I94" s="111"/>
      <c r="M94" s="193"/>
      <c r="N94" s="193"/>
      <c r="O94" s="193"/>
      <c r="P94" s="193"/>
      <c r="Q94" s="193"/>
    </row>
    <row r="95" spans="2:17" ht="14">
      <c r="D95" s="193"/>
      <c r="E95" s="193"/>
      <c r="F95" s="193"/>
      <c r="G95" s="193"/>
      <c r="H95" s="193"/>
      <c r="I95" s="111"/>
      <c r="M95" s="193"/>
      <c r="N95" s="193"/>
      <c r="O95" s="193"/>
      <c r="P95" s="193"/>
      <c r="Q95" s="193"/>
    </row>
    <row r="96" spans="2:17" ht="14">
      <c r="D96" s="194"/>
      <c r="E96" s="221"/>
      <c r="F96" s="193"/>
      <c r="G96" s="193"/>
      <c r="H96" s="193"/>
      <c r="I96" s="111"/>
      <c r="M96" s="194"/>
      <c r="N96" s="221"/>
      <c r="O96" s="193"/>
      <c r="P96" s="193"/>
      <c r="Q96" s="193"/>
    </row>
    <row r="97" spans="2:17" ht="14">
      <c r="B97" s="191"/>
      <c r="C97" s="220"/>
      <c r="D97" s="196"/>
      <c r="E97" s="221"/>
      <c r="F97" s="193"/>
      <c r="G97" s="193"/>
      <c r="H97" s="193"/>
      <c r="I97" s="111"/>
      <c r="M97" s="196"/>
      <c r="N97" s="221"/>
      <c r="O97" s="193"/>
      <c r="P97" s="193"/>
      <c r="Q97" s="193"/>
    </row>
    <row r="98" spans="2:17" ht="14">
      <c r="B98" s="197"/>
      <c r="C98" s="220"/>
      <c r="D98" s="193"/>
      <c r="E98" s="221"/>
      <c r="F98" s="193"/>
      <c r="G98" s="193"/>
      <c r="H98" s="193"/>
      <c r="I98" s="111"/>
      <c r="M98" s="193"/>
      <c r="N98" s="221"/>
      <c r="O98" s="193"/>
      <c r="P98" s="193"/>
      <c r="Q98" s="193"/>
    </row>
    <row r="99" spans="2:17">
      <c r="C99" s="220"/>
      <c r="I99" s="111"/>
    </row>
    <row r="100" spans="2:17">
      <c r="I100" s="111"/>
    </row>
    <row r="101" spans="2:17">
      <c r="I101" s="111"/>
    </row>
    <row r="102" spans="2:17">
      <c r="I102" s="111"/>
    </row>
    <row r="103" spans="2:17">
      <c r="I103" s="111"/>
    </row>
    <row r="104" spans="2:17">
      <c r="I104" s="111"/>
    </row>
    <row r="105" spans="2:17">
      <c r="I105" s="111"/>
    </row>
    <row r="106" spans="2:17">
      <c r="I106" s="111"/>
    </row>
    <row r="107" spans="2:17">
      <c r="I107" s="111"/>
    </row>
    <row r="108" spans="2:17">
      <c r="I108" s="111"/>
    </row>
    <row r="109" spans="2:17">
      <c r="I109" s="111"/>
    </row>
    <row r="110" spans="2:17">
      <c r="I110" s="111"/>
    </row>
    <row r="111" spans="2:17">
      <c r="I111" s="111"/>
    </row>
    <row r="112" spans="2:17">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11" spans="9:9">
      <c r="I311" s="111"/>
    </row>
    <row r="312" spans="9:9">
      <c r="I312" s="111"/>
    </row>
    <row r="313" spans="9:9">
      <c r="I313" s="111"/>
    </row>
    <row r="314" spans="9:9">
      <c r="I314" s="111"/>
    </row>
    <row r="315" spans="9:9">
      <c r="I315" s="111"/>
    </row>
    <row r="316" spans="9:9">
      <c r="I316" s="111"/>
    </row>
    <row r="317" spans="9:9">
      <c r="I317"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5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45911</v>
      </c>
      <c r="G2" s="116"/>
      <c r="H2" s="116"/>
      <c r="I2" s="116"/>
      <c r="J2" s="118"/>
      <c r="K2" s="321"/>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16</v>
      </c>
      <c r="G4" s="122"/>
      <c r="H4" s="127"/>
      <c r="I4" s="122"/>
      <c r="J4" s="128"/>
      <c r="K4" s="321"/>
    </row>
    <row r="5" spans="1:13" ht="18">
      <c r="A5" s="114"/>
      <c r="B5" s="129" t="s">
        <v>149</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22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3.1796875" style="18" customWidth="1"/>
    <col min="4" max="4" width="18.81640625" style="18" customWidth="1"/>
    <col min="5" max="5" width="18.54296875" style="18" customWidth="1"/>
    <col min="6" max="6" width="19.54296875" style="18" customWidth="1"/>
    <col min="7" max="8" width="19" style="18" customWidth="1"/>
    <col min="9"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150</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29">
      <c r="A13" s="114"/>
      <c r="B13" s="168"/>
      <c r="C13" s="168"/>
      <c r="D13" s="454" t="s">
        <v>76</v>
      </c>
      <c r="E13" s="442" t="s">
        <v>72</v>
      </c>
      <c r="F13" s="443" t="s">
        <v>114</v>
      </c>
      <c r="G13" s="444" t="s">
        <v>62</v>
      </c>
      <c r="H13" s="445" t="s">
        <v>115</v>
      </c>
      <c r="I13" s="201"/>
      <c r="K13" s="119"/>
      <c r="M13" s="455"/>
      <c r="N13" s="202"/>
      <c r="O13" s="439"/>
      <c r="P13" s="439"/>
      <c r="Q13" s="201"/>
    </row>
    <row r="14" spans="1:17">
      <c r="A14" s="114"/>
      <c r="B14" s="13"/>
      <c r="C14" s="12"/>
      <c r="D14" s="456" t="s">
        <v>677</v>
      </c>
      <c r="E14" s="457">
        <f t="shared" ref="E14:E28" si="0">VLOOKUP(CONCATENATE("remaining_",D14),Assets_Daten,3,0)</f>
        <v>1301424.4899999988</v>
      </c>
      <c r="F14" s="458">
        <f>E14/$E$29</f>
        <v>1.14992860235662E-3</v>
      </c>
      <c r="G14" s="459">
        <f t="shared" ref="G14:G28" si="1">VLOOKUP(CONCATENATE("remaining_",D14),Assets_Daten,2,0)</f>
        <v>2102</v>
      </c>
      <c r="H14" s="460">
        <f>G14/$G$29</f>
        <v>3.0665091105372955E-2</v>
      </c>
      <c r="I14" s="461"/>
      <c r="K14" s="119"/>
      <c r="M14" s="462"/>
      <c r="N14" s="463"/>
      <c r="O14" s="461"/>
      <c r="P14" s="464"/>
      <c r="Q14" s="461"/>
    </row>
    <row r="15" spans="1:17">
      <c r="A15" s="114"/>
      <c r="B15" s="13"/>
      <c r="C15" s="12"/>
      <c r="D15" s="456" t="s">
        <v>678</v>
      </c>
      <c r="E15" s="457">
        <f t="shared" si="0"/>
        <v>4482697.4999999981</v>
      </c>
      <c r="F15" s="458">
        <f t="shared" ref="F15:F28" si="2">E15/$E$29</f>
        <v>3.9608768012061287E-3</v>
      </c>
      <c r="G15" s="459">
        <f t="shared" si="1"/>
        <v>2291</v>
      </c>
      <c r="H15" s="460">
        <f t="shared" ref="H15:H28" si="3">G15/$G$29</f>
        <v>3.3422323369367006E-2</v>
      </c>
      <c r="I15" s="461"/>
      <c r="K15" s="119"/>
      <c r="M15" s="462"/>
      <c r="N15" s="463"/>
      <c r="O15" s="461"/>
      <c r="P15" s="464"/>
      <c r="Q15" s="461"/>
    </row>
    <row r="16" spans="1:17">
      <c r="A16" s="114"/>
      <c r="B16" s="13"/>
      <c r="C16" s="12"/>
      <c r="D16" s="456" t="s">
        <v>679</v>
      </c>
      <c r="E16" s="457">
        <f t="shared" si="0"/>
        <v>8588084.2000000067</v>
      </c>
      <c r="F16" s="458">
        <f t="shared" si="2"/>
        <v>7.5883647010722751E-3</v>
      </c>
      <c r="G16" s="459">
        <f t="shared" si="1"/>
        <v>2521</v>
      </c>
      <c r="H16" s="460">
        <f t="shared" si="3"/>
        <v>3.6777685383751292E-2</v>
      </c>
      <c r="I16" s="461"/>
      <c r="K16" s="119"/>
      <c r="M16" s="462"/>
      <c r="N16" s="463"/>
      <c r="O16" s="461"/>
      <c r="P16" s="464"/>
      <c r="Q16" s="461"/>
    </row>
    <row r="17" spans="1:17">
      <c r="A17" s="114"/>
      <c r="B17" s="13"/>
      <c r="C17" s="12"/>
      <c r="D17" s="456" t="s">
        <v>680</v>
      </c>
      <c r="E17" s="457">
        <f t="shared" si="0"/>
        <v>13310577.980000008</v>
      </c>
      <c r="F17" s="458">
        <f t="shared" si="2"/>
        <v>1.1761123638529521E-2</v>
      </c>
      <c r="G17" s="459">
        <f t="shared" si="1"/>
        <v>2779</v>
      </c>
      <c r="H17" s="460">
        <f t="shared" si="3"/>
        <v>4.0541526252060631E-2</v>
      </c>
      <c r="I17" s="461"/>
      <c r="K17" s="119"/>
      <c r="M17" s="462"/>
      <c r="N17" s="463"/>
      <c r="O17" s="461"/>
      <c r="P17" s="464"/>
      <c r="Q17" s="461"/>
    </row>
    <row r="18" spans="1:17">
      <c r="A18" s="114"/>
      <c r="B18" s="13"/>
      <c r="C18" s="12"/>
      <c r="D18" s="456" t="s">
        <v>681</v>
      </c>
      <c r="E18" s="457">
        <f t="shared" si="0"/>
        <v>19530019.99999994</v>
      </c>
      <c r="F18" s="458">
        <f t="shared" si="2"/>
        <v>1.7256574449891281E-2</v>
      </c>
      <c r="G18" s="459">
        <f t="shared" si="1"/>
        <v>2928</v>
      </c>
      <c r="H18" s="460">
        <f t="shared" si="3"/>
        <v>4.2715217296161755E-2</v>
      </c>
      <c r="I18" s="461"/>
      <c r="K18" s="119"/>
      <c r="M18" s="462"/>
      <c r="N18" s="463"/>
      <c r="O18" s="461"/>
      <c r="P18" s="464"/>
      <c r="Q18" s="461"/>
    </row>
    <row r="19" spans="1:17">
      <c r="A19" s="114"/>
      <c r="B19" s="13"/>
      <c r="C19" s="12"/>
      <c r="D19" s="456" t="s">
        <v>682</v>
      </c>
      <c r="E19" s="457">
        <f t="shared" si="0"/>
        <v>24664032.839999985</v>
      </c>
      <c r="F19" s="458">
        <f t="shared" si="2"/>
        <v>2.179294844234796E-2</v>
      </c>
      <c r="G19" s="459">
        <f t="shared" si="1"/>
        <v>2971</v>
      </c>
      <c r="H19" s="460">
        <f t="shared" si="3"/>
        <v>4.3342524107546646E-2</v>
      </c>
      <c r="I19" s="461"/>
      <c r="K19" s="119"/>
      <c r="M19" s="462"/>
      <c r="N19" s="463"/>
      <c r="O19" s="461"/>
      <c r="P19" s="464"/>
      <c r="Q19" s="461"/>
    </row>
    <row r="20" spans="1:17">
      <c r="A20" s="114"/>
      <c r="B20" s="13"/>
      <c r="C20" s="12"/>
      <c r="D20" s="456" t="s">
        <v>683</v>
      </c>
      <c r="E20" s="457">
        <f t="shared" si="0"/>
        <v>36354002.109999925</v>
      </c>
      <c r="F20" s="458">
        <f t="shared" si="2"/>
        <v>3.2122114773191233E-2</v>
      </c>
      <c r="G20" s="459">
        <f t="shared" si="1"/>
        <v>3496</v>
      </c>
      <c r="H20" s="460">
        <f t="shared" si="3"/>
        <v>5.1001502618641226E-2</v>
      </c>
      <c r="I20" s="461"/>
      <c r="K20" s="119"/>
      <c r="M20" s="462"/>
      <c r="N20" s="463"/>
      <c r="O20" s="461"/>
      <c r="P20" s="464"/>
      <c r="Q20" s="461"/>
    </row>
    <row r="21" spans="1:17">
      <c r="A21" s="114"/>
      <c r="B21" s="13"/>
      <c r="C21" s="12"/>
      <c r="D21" s="103" t="s">
        <v>684</v>
      </c>
      <c r="E21" s="457">
        <f t="shared" si="0"/>
        <v>47952346.370000072</v>
      </c>
      <c r="F21" s="458">
        <f t="shared" si="2"/>
        <v>4.2370321954656606E-2</v>
      </c>
      <c r="G21" s="459">
        <f t="shared" si="1"/>
        <v>3807</v>
      </c>
      <c r="H21" s="460">
        <f t="shared" si="3"/>
        <v>5.5538535603308681E-2</v>
      </c>
      <c r="I21" s="461"/>
      <c r="K21" s="119"/>
      <c r="M21" s="462"/>
      <c r="N21" s="463"/>
      <c r="O21" s="461"/>
      <c r="P21" s="464"/>
      <c r="Q21" s="461"/>
    </row>
    <row r="22" spans="1:17">
      <c r="A22" s="114"/>
      <c r="B22" s="13"/>
      <c r="C22" s="12"/>
      <c r="D22" s="456" t="s">
        <v>685</v>
      </c>
      <c r="E22" s="457">
        <f t="shared" si="0"/>
        <v>88988592.730000108</v>
      </c>
      <c r="F22" s="458">
        <f t="shared" si="2"/>
        <v>7.8629631492251689E-2</v>
      </c>
      <c r="G22" s="459">
        <f t="shared" si="1"/>
        <v>5849</v>
      </c>
      <c r="H22" s="460">
        <f t="shared" si="3"/>
        <v>8.5328314878842251E-2</v>
      </c>
      <c r="I22" s="461"/>
      <c r="K22" s="119"/>
      <c r="M22" s="462"/>
      <c r="N22" s="463"/>
      <c r="O22" s="461"/>
      <c r="P22" s="464"/>
      <c r="Q22" s="461"/>
    </row>
    <row r="23" spans="1:17">
      <c r="A23" s="114"/>
      <c r="B23" s="13"/>
      <c r="C23" s="12"/>
      <c r="D23" s="456" t="s">
        <v>686</v>
      </c>
      <c r="E23" s="457">
        <f t="shared" si="0"/>
        <v>135355544.30999956</v>
      </c>
      <c r="F23" s="458">
        <f t="shared" si="2"/>
        <v>0.11959911088627008</v>
      </c>
      <c r="G23" s="459">
        <f t="shared" si="1"/>
        <v>7364</v>
      </c>
      <c r="H23" s="460">
        <f t="shared" si="3"/>
        <v>0.10742993858228661</v>
      </c>
      <c r="I23" s="461"/>
      <c r="K23" s="119"/>
      <c r="M23" s="462"/>
      <c r="N23" s="463"/>
      <c r="O23" s="461"/>
      <c r="P23" s="464"/>
      <c r="Q23" s="461"/>
    </row>
    <row r="24" spans="1:17">
      <c r="A24" s="114"/>
      <c r="B24" s="13"/>
      <c r="C24" s="12"/>
      <c r="D24" s="456" t="s">
        <v>687</v>
      </c>
      <c r="E24" s="457">
        <f t="shared" si="0"/>
        <v>335498997.30000037</v>
      </c>
      <c r="F24" s="458">
        <f t="shared" si="2"/>
        <v>0.29644431622555162</v>
      </c>
      <c r="G24" s="459">
        <f t="shared" si="1"/>
        <v>15717</v>
      </c>
      <c r="H24" s="460">
        <f t="shared" si="3"/>
        <v>0.22928793382642568</v>
      </c>
      <c r="I24" s="461"/>
      <c r="K24" s="119"/>
      <c r="M24" s="462"/>
      <c r="N24" s="463"/>
      <c r="O24" s="461"/>
      <c r="P24" s="464"/>
      <c r="Q24" s="461"/>
    </row>
    <row r="25" spans="1:17">
      <c r="A25" s="114"/>
      <c r="B25" s="13"/>
      <c r="C25" s="12"/>
      <c r="D25" s="456" t="s">
        <v>688</v>
      </c>
      <c r="E25" s="457">
        <f t="shared" si="0"/>
        <v>334041090.74999994</v>
      </c>
      <c r="F25" s="458">
        <f t="shared" si="2"/>
        <v>0.29515612128662855</v>
      </c>
      <c r="G25" s="459">
        <f t="shared" si="1"/>
        <v>13923</v>
      </c>
      <c r="H25" s="460">
        <f t="shared" si="3"/>
        <v>0.2031161101142282</v>
      </c>
      <c r="I25" s="461"/>
      <c r="K25" s="119"/>
      <c r="M25" s="462"/>
      <c r="N25" s="463"/>
      <c r="O25" s="461"/>
      <c r="P25" s="464"/>
      <c r="Q25" s="461"/>
    </row>
    <row r="26" spans="1:17" ht="12.75" customHeight="1">
      <c r="A26" s="114"/>
      <c r="B26" s="13"/>
      <c r="C26" s="12"/>
      <c r="D26" s="456" t="s">
        <v>689</v>
      </c>
      <c r="E26" s="457">
        <f t="shared" si="0"/>
        <v>76112239.550000012</v>
      </c>
      <c r="F26" s="458">
        <f t="shared" si="2"/>
        <v>6.7252185524773592E-2</v>
      </c>
      <c r="G26" s="459">
        <f t="shared" si="1"/>
        <v>2627</v>
      </c>
      <c r="H26" s="460">
        <f t="shared" si="3"/>
        <v>3.8324069616467532E-2</v>
      </c>
      <c r="I26" s="461"/>
      <c r="K26" s="119"/>
      <c r="M26" s="462"/>
      <c r="N26" s="463"/>
      <c r="O26" s="461"/>
      <c r="P26" s="464"/>
      <c r="Q26" s="461"/>
    </row>
    <row r="27" spans="1:17" ht="12.75" customHeight="1">
      <c r="A27" s="114"/>
      <c r="B27" s="13"/>
      <c r="C27" s="12"/>
      <c r="D27" s="456" t="s">
        <v>690</v>
      </c>
      <c r="E27" s="457">
        <f t="shared" si="0"/>
        <v>5377356.4000000013</v>
      </c>
      <c r="F27" s="458">
        <f t="shared" si="2"/>
        <v>4.7513904778489552E-3</v>
      </c>
      <c r="G27" s="459">
        <f t="shared" si="1"/>
        <v>166</v>
      </c>
      <c r="H27" s="460">
        <f t="shared" si="3"/>
        <v>2.4216960625556188E-3</v>
      </c>
      <c r="I27" s="461"/>
      <c r="K27" s="119"/>
      <c r="M27" s="462"/>
      <c r="N27" s="463"/>
      <c r="O27" s="461"/>
      <c r="P27" s="464"/>
      <c r="Q27" s="461"/>
    </row>
    <row r="28" spans="1:17" ht="12.75" customHeight="1" thickBot="1">
      <c r="A28" s="114"/>
      <c r="B28" s="13"/>
      <c r="C28" s="12"/>
      <c r="D28" s="456" t="s">
        <v>691</v>
      </c>
      <c r="E28" s="457">
        <f t="shared" si="0"/>
        <v>186727.24000000002</v>
      </c>
      <c r="F28" s="458">
        <f t="shared" si="2"/>
        <v>1.6499074342385349E-4</v>
      </c>
      <c r="G28" s="459">
        <f t="shared" si="1"/>
        <v>6</v>
      </c>
      <c r="H28" s="460">
        <f t="shared" si="3"/>
        <v>8.7531182983938033E-5</v>
      </c>
      <c r="I28" s="461"/>
      <c r="K28" s="119"/>
      <c r="M28" s="462"/>
      <c r="N28" s="463"/>
      <c r="O28" s="461"/>
      <c r="P28" s="464"/>
      <c r="Q28" s="461"/>
    </row>
    <row r="29" spans="1:17" ht="14" thickTop="1" thickBot="1">
      <c r="A29" s="114"/>
      <c r="B29" s="13"/>
      <c r="C29" s="12"/>
      <c r="D29" s="465" t="s">
        <v>36</v>
      </c>
      <c r="E29" s="482">
        <f>SUM(E14:E28)</f>
        <v>1131743733.77</v>
      </c>
      <c r="F29" s="793">
        <f>SUM(F14:F28)</f>
        <v>0.99999999999999989</v>
      </c>
      <c r="G29" s="484">
        <f>SUM(G14:G28)</f>
        <v>68547</v>
      </c>
      <c r="H29" s="485">
        <f>SUM(H14:H28)</f>
        <v>1</v>
      </c>
      <c r="I29" s="450"/>
      <c r="K29" s="119"/>
      <c r="M29" s="32"/>
      <c r="N29" s="436"/>
      <c r="O29" s="450"/>
      <c r="P29" s="437"/>
      <c r="Q29" s="450"/>
    </row>
    <row r="30" spans="1:17" ht="13">
      <c r="A30" s="114"/>
      <c r="B30" s="13"/>
      <c r="C30" s="12"/>
      <c r="D30" s="32"/>
      <c r="E30" s="436"/>
      <c r="F30" s="214"/>
      <c r="G30" s="437"/>
      <c r="H30" s="214"/>
      <c r="I30" s="450"/>
      <c r="K30" s="119"/>
      <c r="M30" s="32"/>
      <c r="N30" s="436"/>
      <c r="O30" s="450"/>
      <c r="P30" s="437"/>
      <c r="Q30" s="450"/>
    </row>
    <row r="31" spans="1:17" ht="13">
      <c r="A31" s="114"/>
      <c r="B31" s="13"/>
      <c r="C31" s="12"/>
      <c r="D31" s="32"/>
      <c r="E31" s="436"/>
      <c r="F31" s="214"/>
      <c r="G31" s="437"/>
      <c r="H31" s="214"/>
      <c r="I31" s="450"/>
      <c r="K31" s="119"/>
      <c r="M31" s="32"/>
      <c r="N31" s="436"/>
      <c r="O31" s="450"/>
      <c r="P31" s="437"/>
      <c r="Q31" s="450"/>
    </row>
    <row r="32" spans="1:17">
      <c r="A32" s="114"/>
      <c r="B32" s="13"/>
      <c r="C32" s="12"/>
      <c r="J32" s="111"/>
      <c r="K32" s="119"/>
    </row>
    <row r="33" spans="1:17" ht="13.5" thickBot="1">
      <c r="A33" s="114"/>
      <c r="B33" s="13"/>
      <c r="C33" s="12"/>
      <c r="D33" s="452" t="s">
        <v>70</v>
      </c>
      <c r="E33" s="452"/>
      <c r="J33" s="111"/>
      <c r="K33" s="119"/>
      <c r="N33" s="451"/>
    </row>
    <row r="34" spans="1:17" ht="13" thickBot="1">
      <c r="A34" s="114"/>
      <c r="B34" s="13"/>
      <c r="C34" s="12"/>
      <c r="D34" s="453" t="s">
        <v>66</v>
      </c>
      <c r="E34" s="775">
        <f>VLOOKUP(CONCATENATE("remaining_",D34),Assets_Daten,3,0)</f>
        <v>69.461251857628156</v>
      </c>
      <c r="F34" s="466"/>
      <c r="G34" s="467"/>
      <c r="H34" s="466"/>
      <c r="I34" s="111"/>
      <c r="J34" s="111"/>
      <c r="K34" s="119"/>
      <c r="M34" s="468"/>
      <c r="N34" s="469"/>
      <c r="O34" s="466"/>
      <c r="P34" s="467"/>
      <c r="Q34" s="466"/>
    </row>
    <row r="35" spans="1:17">
      <c r="A35" s="114"/>
      <c r="B35" s="13"/>
      <c r="C35" s="12"/>
      <c r="D35" s="188"/>
      <c r="E35" s="220"/>
      <c r="F35" s="466"/>
      <c r="G35" s="467"/>
      <c r="H35" s="466"/>
      <c r="I35" s="111"/>
      <c r="J35" s="111"/>
      <c r="K35" s="119"/>
      <c r="M35" s="468"/>
      <c r="N35" s="469"/>
      <c r="O35" s="466"/>
      <c r="P35" s="467"/>
      <c r="Q35" s="466"/>
    </row>
    <row r="36" spans="1:17">
      <c r="A36" s="114"/>
      <c r="B36" s="13"/>
      <c r="C36" s="12"/>
      <c r="D36" s="187"/>
      <c r="E36" s="220"/>
      <c r="F36" s="466"/>
      <c r="G36" s="467"/>
      <c r="H36" s="466"/>
      <c r="I36" s="111"/>
      <c r="J36" s="111"/>
      <c r="K36" s="119"/>
      <c r="M36" s="468"/>
      <c r="N36" s="469"/>
      <c r="O36" s="466"/>
      <c r="P36" s="467"/>
      <c r="Q36" s="466"/>
    </row>
    <row r="37" spans="1:17">
      <c r="A37" s="114"/>
      <c r="B37" s="13"/>
      <c r="C37" s="12"/>
      <c r="D37" s="468"/>
      <c r="E37" s="469"/>
      <c r="F37" s="466"/>
      <c r="G37" s="467"/>
      <c r="H37" s="466"/>
      <c r="I37" s="111"/>
      <c r="J37" s="111"/>
      <c r="K37" s="119"/>
      <c r="M37" s="468"/>
      <c r="N37" s="469"/>
      <c r="O37" s="466"/>
      <c r="P37" s="467"/>
      <c r="Q37" s="466"/>
    </row>
    <row r="38" spans="1:17">
      <c r="A38" s="114"/>
      <c r="B38" s="13"/>
      <c r="C38" s="12"/>
      <c r="D38" s="468"/>
      <c r="E38" s="469"/>
      <c r="F38" s="466"/>
      <c r="G38" s="467"/>
      <c r="H38" s="466"/>
      <c r="I38" s="111"/>
      <c r="J38" s="111"/>
      <c r="K38" s="119"/>
      <c r="M38" s="468"/>
      <c r="N38" s="469"/>
      <c r="O38" s="466"/>
      <c r="P38" s="467"/>
      <c r="Q38" s="466"/>
    </row>
    <row r="39" spans="1:17">
      <c r="A39" s="114"/>
      <c r="B39" s="13"/>
      <c r="C39" s="12"/>
      <c r="D39" s="468"/>
      <c r="E39" s="469"/>
      <c r="F39" s="466"/>
      <c r="G39" s="467"/>
      <c r="H39" s="466"/>
      <c r="I39" s="111"/>
      <c r="J39" s="111"/>
      <c r="K39" s="119"/>
      <c r="M39" s="468"/>
      <c r="N39" s="469"/>
      <c r="O39" s="466"/>
      <c r="P39" s="467"/>
      <c r="Q39" s="466"/>
    </row>
    <row r="40" spans="1:17">
      <c r="A40" s="114"/>
      <c r="B40" s="13"/>
      <c r="C40" s="12"/>
      <c r="D40" s="468"/>
      <c r="E40" s="469"/>
      <c r="F40" s="466"/>
      <c r="G40" s="467"/>
      <c r="H40" s="466"/>
      <c r="I40" s="111"/>
      <c r="J40" s="111"/>
      <c r="K40" s="119"/>
      <c r="M40" s="468"/>
      <c r="N40" s="469"/>
      <c r="O40" s="466"/>
      <c r="P40" s="467"/>
      <c r="Q40" s="466"/>
    </row>
    <row r="41" spans="1:17">
      <c r="A41" s="114"/>
      <c r="B41" s="13"/>
      <c r="C41" s="12"/>
      <c r="D41" s="468"/>
      <c r="E41" s="469"/>
      <c r="F41" s="466"/>
      <c r="G41" s="467"/>
      <c r="H41" s="466"/>
      <c r="I41" s="111"/>
      <c r="J41" s="111"/>
      <c r="K41" s="119"/>
      <c r="M41" s="468"/>
      <c r="N41" s="469"/>
      <c r="O41" s="466"/>
      <c r="P41" s="467"/>
      <c r="Q41" s="466"/>
    </row>
    <row r="42" spans="1:17">
      <c r="A42" s="114"/>
      <c r="B42" s="13"/>
      <c r="C42" s="12"/>
      <c r="D42" s="468"/>
      <c r="E42" s="469"/>
      <c r="F42" s="466"/>
      <c r="G42" s="467"/>
      <c r="H42" s="466"/>
      <c r="I42" s="111"/>
      <c r="J42" s="111"/>
      <c r="K42" s="119"/>
      <c r="M42" s="468"/>
      <c r="N42" s="469"/>
      <c r="O42" s="466"/>
      <c r="P42" s="467"/>
      <c r="Q42" s="466"/>
    </row>
    <row r="43" spans="1:17">
      <c r="A43" s="114"/>
      <c r="B43" s="13"/>
      <c r="C43" s="12"/>
      <c r="D43" s="468"/>
      <c r="E43" s="469"/>
      <c r="F43" s="466"/>
      <c r="G43" s="467"/>
      <c r="H43" s="466"/>
      <c r="I43" s="111"/>
      <c r="J43" s="111"/>
      <c r="K43" s="119"/>
      <c r="M43" s="468"/>
      <c r="N43" s="469"/>
      <c r="O43" s="466"/>
      <c r="P43" s="467"/>
      <c r="Q43" s="466"/>
    </row>
    <row r="44" spans="1:17">
      <c r="A44" s="114"/>
      <c r="B44" s="13"/>
      <c r="C44" s="12"/>
      <c r="D44" s="468"/>
      <c r="E44" s="469"/>
      <c r="F44" s="466"/>
      <c r="G44" s="467"/>
      <c r="H44" s="466"/>
      <c r="I44" s="111"/>
      <c r="J44" s="111"/>
      <c r="K44" s="119"/>
      <c r="M44" s="468"/>
      <c r="N44" s="469"/>
      <c r="O44" s="466"/>
      <c r="P44" s="467"/>
      <c r="Q44" s="466"/>
    </row>
    <row r="45" spans="1:17">
      <c r="A45" s="114"/>
      <c r="B45" s="13"/>
      <c r="C45" s="12"/>
      <c r="D45" s="468"/>
      <c r="E45" s="469"/>
      <c r="F45" s="466"/>
      <c r="G45" s="467"/>
      <c r="H45" s="466"/>
      <c r="I45" s="111"/>
      <c r="J45" s="111"/>
      <c r="K45" s="119"/>
      <c r="M45" s="468"/>
      <c r="N45" s="469"/>
      <c r="O45" s="466"/>
      <c r="P45" s="467"/>
      <c r="Q45" s="466"/>
    </row>
    <row r="46" spans="1:17">
      <c r="A46" s="114"/>
      <c r="B46" s="13"/>
      <c r="C46" s="12"/>
      <c r="D46" s="468"/>
      <c r="E46" s="469"/>
      <c r="F46" s="466"/>
      <c r="G46" s="467"/>
      <c r="H46" s="466"/>
      <c r="I46" s="111"/>
      <c r="J46" s="111"/>
      <c r="K46" s="119"/>
      <c r="M46" s="468"/>
      <c r="N46" s="469"/>
      <c r="O46" s="466"/>
      <c r="P46" s="467"/>
      <c r="Q46" s="466"/>
    </row>
    <row r="47" spans="1:17">
      <c r="A47" s="114"/>
      <c r="B47" s="13"/>
      <c r="C47" s="12"/>
      <c r="D47" s="468"/>
      <c r="E47" s="469"/>
      <c r="F47" s="466"/>
      <c r="G47" s="467"/>
      <c r="H47" s="466"/>
      <c r="I47" s="111"/>
      <c r="J47" s="111"/>
      <c r="K47" s="119"/>
      <c r="M47" s="468"/>
      <c r="N47" s="469"/>
      <c r="O47" s="466"/>
      <c r="P47" s="467"/>
      <c r="Q47" s="466"/>
    </row>
    <row r="48" spans="1:17">
      <c r="A48" s="150"/>
      <c r="B48" s="26"/>
      <c r="C48" s="10"/>
      <c r="D48" s="312"/>
      <c r="E48" s="10"/>
      <c r="F48" s="290"/>
      <c r="G48" s="313"/>
      <c r="H48" s="290"/>
      <c r="I48" s="349"/>
      <c r="J48" s="51"/>
      <c r="K48" s="152"/>
      <c r="M48" s="184"/>
      <c r="N48" s="12"/>
      <c r="O48" s="185"/>
      <c r="P48" s="186"/>
      <c r="Q48" s="185"/>
    </row>
    <row r="49" spans="1:17">
      <c r="A49" s="44"/>
      <c r="B49" s="13"/>
      <c r="C49" s="12"/>
      <c r="D49" s="184"/>
      <c r="E49" s="12"/>
      <c r="F49" s="185"/>
      <c r="G49" s="186"/>
      <c r="H49" s="185"/>
      <c r="I49" s="111"/>
      <c r="M49" s="184"/>
      <c r="N49" s="12"/>
      <c r="O49" s="185"/>
      <c r="P49" s="186"/>
      <c r="Q49" s="185"/>
    </row>
    <row r="50" spans="1:17">
      <c r="B50" s="13"/>
      <c r="C50" s="12"/>
      <c r="D50" s="184"/>
      <c r="E50" s="12"/>
      <c r="F50" s="185"/>
      <c r="G50" s="186"/>
      <c r="H50" s="185"/>
      <c r="I50" s="111"/>
      <c r="M50" s="184"/>
      <c r="N50" s="12"/>
      <c r="O50" s="185"/>
      <c r="P50" s="186"/>
      <c r="Q50" s="185"/>
    </row>
    <row r="51" spans="1:17">
      <c r="B51" s="13"/>
      <c r="C51" s="12"/>
      <c r="D51" s="184"/>
      <c r="E51" s="12"/>
      <c r="F51" s="185"/>
      <c r="G51" s="186"/>
      <c r="H51" s="185"/>
      <c r="I51" s="111"/>
      <c r="M51" s="184"/>
      <c r="N51" s="12"/>
      <c r="O51" s="185"/>
      <c r="P51" s="186"/>
      <c r="Q51" s="185"/>
    </row>
    <row r="52" spans="1:17" ht="15" customHeight="1">
      <c r="B52" s="13"/>
      <c r="C52" s="12"/>
      <c r="D52" s="184"/>
      <c r="E52" s="12"/>
      <c r="F52" s="185"/>
      <c r="G52" s="186"/>
      <c r="H52" s="185"/>
      <c r="I52" s="111"/>
      <c r="M52" s="184"/>
      <c r="N52" s="12"/>
      <c r="O52" s="185"/>
      <c r="P52" s="186"/>
      <c r="Q52" s="185"/>
    </row>
    <row r="53" spans="1:17">
      <c r="B53" s="13"/>
      <c r="C53" s="12"/>
      <c r="D53" s="184"/>
      <c r="E53" s="12"/>
      <c r="F53" s="185"/>
      <c r="G53" s="186"/>
      <c r="H53" s="185"/>
      <c r="I53" s="111"/>
      <c r="M53" s="184"/>
      <c r="N53" s="12"/>
      <c r="O53" s="185"/>
      <c r="P53" s="186"/>
      <c r="Q53" s="185"/>
    </row>
    <row r="54" spans="1:17">
      <c r="B54" s="13"/>
      <c r="C54" s="12"/>
      <c r="D54" s="184"/>
      <c r="E54" s="12"/>
      <c r="F54" s="185"/>
      <c r="G54" s="186"/>
      <c r="H54" s="185"/>
      <c r="I54" s="111"/>
      <c r="M54" s="184"/>
      <c r="N54" s="12"/>
      <c r="O54" s="185"/>
      <c r="P54" s="186"/>
      <c r="Q54" s="185"/>
    </row>
    <row r="55" spans="1:17">
      <c r="B55" s="13"/>
      <c r="C55" s="12"/>
      <c r="D55" s="184"/>
      <c r="E55" s="12"/>
      <c r="F55" s="185"/>
      <c r="G55" s="186"/>
      <c r="H55" s="185"/>
      <c r="I55" s="111"/>
      <c r="M55" s="184"/>
      <c r="N55" s="12"/>
      <c r="O55" s="185"/>
      <c r="P55" s="186"/>
      <c r="Q55" s="185"/>
    </row>
    <row r="56" spans="1:17">
      <c r="B56" s="13"/>
      <c r="C56" s="12"/>
      <c r="D56" s="184"/>
      <c r="E56" s="12"/>
      <c r="F56" s="185"/>
      <c r="G56" s="186"/>
      <c r="H56" s="185"/>
      <c r="I56" s="111"/>
      <c r="M56" s="184"/>
      <c r="N56" s="12"/>
      <c r="O56" s="185"/>
      <c r="P56" s="186"/>
      <c r="Q56" s="185"/>
    </row>
    <row r="57" spans="1:17">
      <c r="B57" s="13"/>
      <c r="C57" s="12"/>
      <c r="D57" s="184"/>
      <c r="E57" s="12"/>
      <c r="F57" s="185"/>
      <c r="G57" s="186"/>
      <c r="H57" s="185"/>
      <c r="I57" s="111"/>
      <c r="M57" s="184"/>
      <c r="N57" s="12"/>
      <c r="O57" s="185"/>
      <c r="P57" s="186"/>
      <c r="Q57" s="185"/>
    </row>
    <row r="58" spans="1:17">
      <c r="B58" s="13"/>
      <c r="C58" s="12"/>
      <c r="D58" s="184"/>
      <c r="E58" s="12"/>
      <c r="F58" s="185"/>
      <c r="G58" s="186"/>
      <c r="H58" s="185"/>
      <c r="I58" s="111"/>
      <c r="M58" s="184"/>
      <c r="N58" s="12"/>
      <c r="O58" s="185"/>
      <c r="P58" s="186"/>
      <c r="Q58" s="185"/>
    </row>
    <row r="59" spans="1:17">
      <c r="B59" s="13"/>
      <c r="C59" s="12"/>
      <c r="D59" s="184"/>
      <c r="E59" s="12"/>
      <c r="F59" s="185"/>
      <c r="G59" s="186"/>
      <c r="H59" s="185"/>
      <c r="I59" s="111"/>
      <c r="M59" s="184"/>
      <c r="N59" s="12"/>
      <c r="O59" s="185"/>
      <c r="P59" s="186"/>
      <c r="Q59" s="185"/>
    </row>
    <row r="60" spans="1:17">
      <c r="B60" s="13"/>
      <c r="C60" s="12"/>
      <c r="D60" s="184"/>
      <c r="E60" s="12"/>
      <c r="F60" s="185"/>
      <c r="G60" s="186"/>
      <c r="H60" s="185"/>
      <c r="I60" s="111"/>
      <c r="M60" s="184"/>
      <c r="N60" s="12"/>
      <c r="O60" s="185"/>
      <c r="P60" s="186"/>
      <c r="Q60" s="185"/>
    </row>
    <row r="61" spans="1:17">
      <c r="B61" s="13"/>
      <c r="C61" s="12"/>
      <c r="D61" s="184"/>
      <c r="E61" s="12"/>
      <c r="F61" s="185"/>
      <c r="G61" s="186"/>
      <c r="H61" s="185"/>
      <c r="I61" s="111"/>
      <c r="M61" s="184"/>
      <c r="N61" s="12"/>
      <c r="O61" s="185"/>
      <c r="P61" s="186"/>
      <c r="Q61" s="185"/>
    </row>
    <row r="62" spans="1:17">
      <c r="B62" s="13"/>
      <c r="C62" s="12"/>
      <c r="D62" s="184"/>
      <c r="E62" s="12"/>
      <c r="F62" s="185"/>
      <c r="G62" s="186"/>
      <c r="H62" s="185"/>
      <c r="I62" s="111"/>
      <c r="M62" s="184"/>
      <c r="N62" s="12"/>
      <c r="O62" s="185"/>
      <c r="P62" s="186"/>
      <c r="Q62" s="185"/>
    </row>
    <row r="63" spans="1:17">
      <c r="B63" s="13"/>
      <c r="C63" s="12"/>
      <c r="D63" s="184"/>
      <c r="E63" s="12"/>
      <c r="F63" s="185"/>
      <c r="G63" s="186"/>
      <c r="H63" s="185"/>
      <c r="I63" s="111"/>
      <c r="M63" s="184"/>
      <c r="N63" s="12"/>
      <c r="O63" s="185"/>
      <c r="P63" s="186"/>
      <c r="Q63" s="185"/>
    </row>
    <row r="64" spans="1: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4"/>
      <c r="E81" s="12"/>
      <c r="F81" s="185"/>
      <c r="G81" s="186"/>
      <c r="H81" s="185"/>
      <c r="I81" s="111"/>
      <c r="M81" s="184"/>
      <c r="N81" s="12"/>
      <c r="O81" s="185"/>
      <c r="P81" s="186"/>
      <c r="Q81" s="185"/>
    </row>
    <row r="82" spans="2:17">
      <c r="B82" s="13"/>
      <c r="C82" s="12"/>
      <c r="D82" s="187"/>
      <c r="E82" s="188"/>
      <c r="F82" s="219"/>
      <c r="G82" s="190"/>
      <c r="H82" s="219"/>
      <c r="I82" s="111"/>
      <c r="M82" s="187"/>
      <c r="N82" s="188"/>
      <c r="O82" s="219"/>
      <c r="P82" s="190"/>
      <c r="Q82" s="219"/>
    </row>
    <row r="83" spans="2:17">
      <c r="B83" s="13"/>
      <c r="C83" s="12"/>
      <c r="D83" s="187"/>
      <c r="E83" s="187"/>
      <c r="F83" s="187"/>
      <c r="G83" s="187"/>
      <c r="H83" s="187"/>
      <c r="I83" s="111"/>
      <c r="M83" s="187"/>
      <c r="N83" s="187"/>
      <c r="O83" s="187"/>
      <c r="P83" s="187"/>
      <c r="Q83" s="187"/>
    </row>
    <row r="84" spans="2:17">
      <c r="B84" s="13"/>
      <c r="C84" s="12"/>
      <c r="D84" s="187"/>
      <c r="E84" s="187"/>
      <c r="F84" s="187"/>
      <c r="G84" s="187"/>
      <c r="H84" s="187"/>
      <c r="I84" s="111"/>
      <c r="M84" s="187"/>
      <c r="N84" s="187"/>
      <c r="O84" s="187"/>
      <c r="P84" s="187"/>
      <c r="Q84" s="187"/>
    </row>
    <row r="85" spans="2:17">
      <c r="B85" s="13"/>
      <c r="C85" s="12"/>
      <c r="D85" s="191"/>
      <c r="E85" s="220"/>
      <c r="F85" s="187"/>
      <c r="G85" s="187"/>
      <c r="H85" s="187"/>
      <c r="I85" s="111"/>
      <c r="M85" s="191"/>
      <c r="N85" s="220"/>
      <c r="O85" s="187"/>
      <c r="P85" s="187"/>
      <c r="Q85" s="187"/>
    </row>
    <row r="86" spans="2:17">
      <c r="B86" s="13"/>
      <c r="C86" s="12"/>
      <c r="D86" s="188"/>
      <c r="E86" s="220"/>
      <c r="F86" s="187"/>
      <c r="G86" s="187"/>
      <c r="H86" s="187"/>
      <c r="I86" s="111"/>
      <c r="M86" s="188"/>
      <c r="N86" s="220"/>
      <c r="O86" s="187"/>
      <c r="P86" s="187"/>
      <c r="Q86" s="187"/>
    </row>
    <row r="87" spans="2:17">
      <c r="B87" s="13"/>
      <c r="C87" s="12"/>
      <c r="D87" s="187"/>
      <c r="E87" s="220"/>
      <c r="F87" s="187"/>
      <c r="G87" s="187"/>
      <c r="H87" s="187"/>
      <c r="I87" s="111"/>
      <c r="M87" s="187"/>
      <c r="N87" s="220"/>
      <c r="O87" s="187"/>
      <c r="P87" s="187"/>
      <c r="Q87" s="187"/>
    </row>
    <row r="88" spans="2:17" ht="14">
      <c r="B88" s="187"/>
      <c r="C88" s="188"/>
      <c r="D88" s="193"/>
      <c r="E88" s="193"/>
      <c r="F88" s="193"/>
      <c r="G88" s="193"/>
      <c r="H88" s="193"/>
      <c r="I88" s="111"/>
      <c r="M88" s="193"/>
      <c r="N88" s="193"/>
      <c r="O88" s="193"/>
      <c r="P88" s="193"/>
      <c r="Q88" s="193"/>
    </row>
    <row r="89" spans="2:17" ht="14">
      <c r="D89" s="193"/>
      <c r="E89" s="193"/>
      <c r="F89" s="193"/>
      <c r="G89" s="193"/>
      <c r="H89" s="193"/>
      <c r="I89" s="111"/>
      <c r="M89" s="193"/>
      <c r="N89" s="193"/>
      <c r="O89" s="193"/>
      <c r="P89" s="193"/>
      <c r="Q89" s="193"/>
    </row>
    <row r="90" spans="2:17" ht="14">
      <c r="D90" s="194"/>
      <c r="E90" s="221"/>
      <c r="F90" s="193"/>
      <c r="G90" s="193"/>
      <c r="H90" s="193"/>
      <c r="I90" s="111"/>
      <c r="M90" s="194"/>
      <c r="N90" s="221"/>
      <c r="O90" s="193"/>
      <c r="P90" s="193"/>
      <c r="Q90" s="193"/>
    </row>
    <row r="91" spans="2:17" ht="14">
      <c r="B91" s="191"/>
      <c r="C91" s="220"/>
      <c r="D91" s="196"/>
      <c r="E91" s="221"/>
      <c r="F91" s="193"/>
      <c r="G91" s="193"/>
      <c r="H91" s="193"/>
      <c r="I91" s="111"/>
      <c r="M91" s="196"/>
      <c r="N91" s="221"/>
      <c r="O91" s="193"/>
      <c r="P91" s="193"/>
      <c r="Q91" s="193"/>
    </row>
    <row r="92" spans="2:17" ht="14">
      <c r="B92" s="197"/>
      <c r="C92" s="220"/>
      <c r="D92" s="193"/>
      <c r="E92" s="221"/>
      <c r="F92" s="193"/>
      <c r="G92" s="193"/>
      <c r="H92" s="193"/>
      <c r="I92" s="111"/>
      <c r="M92" s="193"/>
      <c r="N92" s="221"/>
      <c r="O92" s="193"/>
      <c r="P92" s="193"/>
      <c r="Q92" s="193"/>
    </row>
    <row r="93" spans="2:17">
      <c r="C93" s="220"/>
      <c r="I93" s="111"/>
    </row>
    <row r="94" spans="2:17">
      <c r="I94" s="111"/>
    </row>
    <row r="95" spans="2:17">
      <c r="I95" s="111"/>
    </row>
    <row r="96" spans="2:17">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11" spans="9:9">
      <c r="I311"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7"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45911</v>
      </c>
      <c r="G2" s="116"/>
      <c r="H2" s="116"/>
      <c r="I2" s="116"/>
      <c r="J2" s="118"/>
      <c r="K2" s="321"/>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16</v>
      </c>
      <c r="G4" s="122"/>
      <c r="H4" s="127"/>
      <c r="I4" s="122"/>
      <c r="J4" s="128"/>
      <c r="K4" s="321"/>
    </row>
    <row r="5" spans="1:13" ht="18">
      <c r="A5" s="114"/>
      <c r="B5" s="129" t="s">
        <v>151</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225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3.453125" style="18" customWidth="1"/>
    <col min="4" max="4" width="18.81640625" style="18" customWidth="1"/>
    <col min="5" max="5" width="20.81640625" style="18" customWidth="1"/>
    <col min="6" max="6" width="19.54296875" style="18" customWidth="1"/>
    <col min="7" max="8" width="19" style="18" customWidth="1"/>
    <col min="9"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7" width="19" style="18" customWidth="1"/>
    <col min="18" max="16384" width="9.1796875" style="18"/>
  </cols>
  <sheetData>
    <row r="1" spans="1:17" ht="6" customHeight="1">
      <c r="A1" s="112"/>
      <c r="B1" s="44"/>
      <c r="C1" s="44"/>
      <c r="D1" s="44"/>
      <c r="E1" s="44"/>
      <c r="F1" s="44"/>
      <c r="G1" s="44"/>
      <c r="H1" s="44"/>
      <c r="I1" s="44"/>
      <c r="J1" s="44"/>
      <c r="K1" s="113"/>
    </row>
    <row r="2" spans="1:17"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7" ht="18">
      <c r="A3" s="114"/>
      <c r="B3" s="42" t="str">
        <f>'Cover Sheet'!B3</f>
        <v>Monthly Investor Report</v>
      </c>
      <c r="C3" s="42"/>
      <c r="D3" s="121" t="str">
        <f>'Cover Sheet'!D3</f>
        <v>Payment Date</v>
      </c>
      <c r="E3" s="122"/>
      <c r="F3" s="123">
        <f>'Cover Sheet'!F3</f>
        <v>45915</v>
      </c>
      <c r="G3" s="122"/>
      <c r="H3" s="122"/>
      <c r="I3" s="122"/>
      <c r="J3" s="124"/>
      <c r="K3" s="134"/>
      <c r="M3" s="99"/>
      <c r="O3" s="421"/>
    </row>
    <row r="4" spans="1:17" ht="13">
      <c r="A4" s="114"/>
      <c r="B4" s="120"/>
      <c r="C4" s="99"/>
      <c r="D4" s="121" t="str">
        <f>'Cover Sheet'!D4</f>
        <v>Period  No</v>
      </c>
      <c r="E4" s="122"/>
      <c r="F4" s="126">
        <f>'Cover Sheet'!F4</f>
        <v>16</v>
      </c>
      <c r="G4" s="122"/>
      <c r="H4" s="127"/>
      <c r="I4" s="122"/>
      <c r="J4" s="128"/>
      <c r="K4" s="321"/>
      <c r="M4" s="99"/>
      <c r="O4" s="81"/>
      <c r="Q4" s="99"/>
    </row>
    <row r="5" spans="1:17" ht="18">
      <c r="A5" s="114"/>
      <c r="B5" s="129" t="s">
        <v>152</v>
      </c>
      <c r="C5" s="129"/>
      <c r="D5" s="121" t="str">
        <f>'Cover Sheet'!D5</f>
        <v>Monthly Period</v>
      </c>
      <c r="E5" s="122"/>
      <c r="F5" s="130">
        <f>'Cover Sheet'!F5</f>
        <v>45915</v>
      </c>
      <c r="G5" s="122"/>
      <c r="H5" s="127"/>
      <c r="I5" s="122"/>
      <c r="J5" s="128"/>
      <c r="K5" s="134"/>
      <c r="M5" s="99"/>
      <c r="O5" s="440"/>
      <c r="Q5" s="99"/>
    </row>
    <row r="6" spans="1:17"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P6" s="81"/>
      <c r="Q6" s="421"/>
    </row>
    <row r="7" spans="1:17"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row>
    <row r="8" spans="1:17" ht="13">
      <c r="A8" s="114"/>
      <c r="E8" s="142"/>
      <c r="F8" s="81"/>
      <c r="G8" s="142"/>
      <c r="I8" s="163"/>
      <c r="K8" s="134"/>
      <c r="N8" s="142"/>
      <c r="O8" s="81"/>
      <c r="P8" s="142"/>
    </row>
    <row r="9" spans="1:17">
      <c r="A9" s="114"/>
      <c r="K9" s="119"/>
    </row>
    <row r="10" spans="1:17">
      <c r="A10" s="114"/>
      <c r="F10" s="111"/>
      <c r="K10" s="119"/>
      <c r="O10" s="111"/>
    </row>
    <row r="11" spans="1:17" ht="18">
      <c r="A11" s="114"/>
      <c r="B11" s="165"/>
      <c r="G11" s="323"/>
      <c r="H11" s="323"/>
      <c r="K11" s="119"/>
      <c r="M11" s="42"/>
      <c r="P11" s="323"/>
      <c r="Q11" s="323"/>
    </row>
    <row r="12" spans="1:17" ht="13" thickBot="1">
      <c r="A12" s="114"/>
      <c r="G12" s="323"/>
      <c r="H12" s="323"/>
      <c r="K12" s="119"/>
      <c r="P12" s="323"/>
      <c r="Q12" s="323"/>
    </row>
    <row r="13" spans="1:17" ht="31.5" customHeight="1">
      <c r="A13" s="114"/>
      <c r="B13" s="168"/>
      <c r="C13" s="168"/>
      <c r="D13" s="441" t="s">
        <v>78</v>
      </c>
      <c r="E13" s="442" t="s">
        <v>72</v>
      </c>
      <c r="F13" s="443" t="s">
        <v>114</v>
      </c>
      <c r="G13" s="444" t="s">
        <v>62</v>
      </c>
      <c r="H13" s="445" t="s">
        <v>115</v>
      </c>
      <c r="I13" s="168"/>
      <c r="K13" s="119"/>
      <c r="M13" s="201"/>
      <c r="N13" s="202"/>
      <c r="O13" s="439"/>
      <c r="P13" s="439"/>
      <c r="Q13" s="204"/>
    </row>
    <row r="14" spans="1:17">
      <c r="A14" s="114"/>
      <c r="B14" s="13"/>
      <c r="C14" s="12"/>
      <c r="D14" s="102" t="s">
        <v>692</v>
      </c>
      <c r="E14" s="446">
        <f t="shared" ref="E14:E29" si="0">VLOOKUP(CONCATENATE("origterm_",D14),Assets_Daten,3,0)</f>
        <v>18.780000000001564</v>
      </c>
      <c r="F14" s="447">
        <f>E14/$E$30</f>
        <v>1.6593862585342259E-8</v>
      </c>
      <c r="G14" s="448">
        <f t="shared" ref="G14:G29" si="1">VLOOKUP(CONCATENATE("origterm_",D14),Assets_Daten,2,0)</f>
        <v>42</v>
      </c>
      <c r="H14" s="449">
        <f>G14/$G$30</f>
        <v>6.1271828088756619E-4</v>
      </c>
      <c r="I14" s="206"/>
      <c r="K14" s="119"/>
      <c r="N14" s="325"/>
      <c r="O14" s="206"/>
      <c r="P14" s="326"/>
      <c r="Q14" s="206"/>
    </row>
    <row r="15" spans="1:17">
      <c r="A15" s="114"/>
      <c r="B15" s="13"/>
      <c r="C15" s="12"/>
      <c r="D15" s="102" t="s">
        <v>679</v>
      </c>
      <c r="E15" s="446">
        <f t="shared" si="0"/>
        <v>140833.49</v>
      </c>
      <c r="F15" s="447">
        <f t="shared" ref="F15:F29" si="2">E15/$E$30</f>
        <v>1.2443938128189446E-4</v>
      </c>
      <c r="G15" s="448">
        <f t="shared" si="1"/>
        <v>299</v>
      </c>
      <c r="H15" s="449">
        <f t="shared" ref="H15:H29" si="3">G15/$G$30</f>
        <v>4.3619706186995783E-3</v>
      </c>
      <c r="I15" s="206"/>
      <c r="K15" s="119"/>
      <c r="N15" s="325"/>
      <c r="O15" s="206"/>
      <c r="P15" s="326"/>
      <c r="Q15" s="206"/>
    </row>
    <row r="16" spans="1:17">
      <c r="A16" s="114"/>
      <c r="B16" s="13"/>
      <c r="C16" s="12"/>
      <c r="D16" s="102" t="s">
        <v>680</v>
      </c>
      <c r="E16" s="446">
        <f t="shared" si="0"/>
        <v>1879348.7300000021</v>
      </c>
      <c r="F16" s="447">
        <f t="shared" si="2"/>
        <v>1.6605779859187927E-3</v>
      </c>
      <c r="G16" s="448">
        <f t="shared" si="1"/>
        <v>1876</v>
      </c>
      <c r="H16" s="449">
        <f t="shared" si="3"/>
        <v>2.7368083212977956E-2</v>
      </c>
      <c r="I16" s="206"/>
      <c r="K16" s="119"/>
      <c r="N16" s="325"/>
      <c r="O16" s="206"/>
      <c r="P16" s="326"/>
      <c r="Q16" s="206"/>
    </row>
    <row r="17" spans="1:17">
      <c r="A17" s="114"/>
      <c r="B17" s="13"/>
      <c r="C17" s="12"/>
      <c r="D17" s="102" t="s">
        <v>681</v>
      </c>
      <c r="E17" s="446">
        <f t="shared" si="0"/>
        <v>1367416.2700000003</v>
      </c>
      <c r="F17" s="447">
        <f t="shared" si="2"/>
        <v>1.2082384281863355E-3</v>
      </c>
      <c r="G17" s="448">
        <f t="shared" si="1"/>
        <v>589</v>
      </c>
      <c r="H17" s="449">
        <f t="shared" si="3"/>
        <v>8.5926444629232501E-3</v>
      </c>
      <c r="I17" s="206"/>
      <c r="K17" s="119"/>
      <c r="N17" s="325"/>
      <c r="O17" s="206"/>
      <c r="P17" s="326"/>
      <c r="Q17" s="206"/>
    </row>
    <row r="18" spans="1:17">
      <c r="A18" s="114"/>
      <c r="B18" s="13"/>
      <c r="C18" s="12"/>
      <c r="D18" s="102" t="s">
        <v>682</v>
      </c>
      <c r="E18" s="446">
        <f t="shared" si="0"/>
        <v>9468672.2200000212</v>
      </c>
      <c r="F18" s="447">
        <f t="shared" si="2"/>
        <v>8.3664454570987687E-3</v>
      </c>
      <c r="G18" s="448">
        <f t="shared" si="1"/>
        <v>3363</v>
      </c>
      <c r="H18" s="449">
        <f t="shared" si="3"/>
        <v>4.9061228062497263E-2</v>
      </c>
      <c r="I18" s="206"/>
      <c r="K18" s="119"/>
      <c r="N18" s="325"/>
      <c r="O18" s="206"/>
      <c r="P18" s="326"/>
      <c r="Q18" s="206"/>
    </row>
    <row r="19" spans="1:17">
      <c r="A19" s="114"/>
      <c r="B19" s="13"/>
      <c r="C19" s="12"/>
      <c r="D19" s="102" t="s">
        <v>683</v>
      </c>
      <c r="E19" s="446">
        <f t="shared" si="0"/>
        <v>4398820.01</v>
      </c>
      <c r="F19" s="447">
        <f t="shared" si="2"/>
        <v>3.8867633005105311E-3</v>
      </c>
      <c r="G19" s="448">
        <f t="shared" si="1"/>
        <v>754</v>
      </c>
      <c r="H19" s="449">
        <f t="shared" si="3"/>
        <v>1.0999751994981545E-2</v>
      </c>
      <c r="I19" s="206"/>
      <c r="K19" s="119"/>
      <c r="N19" s="325"/>
      <c r="O19" s="206"/>
      <c r="P19" s="326"/>
      <c r="Q19" s="206"/>
    </row>
    <row r="20" spans="1:17">
      <c r="A20" s="114"/>
      <c r="B20" s="13"/>
      <c r="C20" s="12"/>
      <c r="D20" s="102" t="s">
        <v>684</v>
      </c>
      <c r="E20" s="446">
        <f t="shared" si="0"/>
        <v>22125304.369999934</v>
      </c>
      <c r="F20" s="447">
        <f t="shared" si="2"/>
        <v>1.954974762378173E-2</v>
      </c>
      <c r="G20" s="448">
        <f t="shared" si="1"/>
        <v>4406</v>
      </c>
      <c r="H20" s="449">
        <f t="shared" si="3"/>
        <v>6.4277065371205158E-2</v>
      </c>
      <c r="I20" s="206"/>
      <c r="K20" s="119"/>
      <c r="N20" s="325"/>
      <c r="O20" s="206"/>
      <c r="P20" s="326"/>
      <c r="Q20" s="206"/>
    </row>
    <row r="21" spans="1:17">
      <c r="A21" s="114"/>
      <c r="B21" s="13"/>
      <c r="C21" s="12"/>
      <c r="D21" s="102" t="s">
        <v>685</v>
      </c>
      <c r="E21" s="446">
        <f t="shared" si="0"/>
        <v>35898875.659999959</v>
      </c>
      <c r="F21" s="447">
        <f t="shared" si="2"/>
        <v>3.1719968566042471E-2</v>
      </c>
      <c r="G21" s="448">
        <f t="shared" si="1"/>
        <v>4572</v>
      </c>
      <c r="H21" s="449">
        <f t="shared" si="3"/>
        <v>6.6698761433760773E-2</v>
      </c>
      <c r="I21" s="206"/>
      <c r="K21" s="119"/>
      <c r="N21" s="325"/>
      <c r="O21" s="206"/>
      <c r="P21" s="326"/>
      <c r="Q21" s="206"/>
    </row>
    <row r="22" spans="1:17">
      <c r="A22" s="114"/>
      <c r="B22" s="13"/>
      <c r="C22" s="12"/>
      <c r="D22" s="102" t="s">
        <v>686</v>
      </c>
      <c r="E22" s="446">
        <f t="shared" si="0"/>
        <v>11340521.850000007</v>
      </c>
      <c r="F22" s="447">
        <f t="shared" si="2"/>
        <v>1.0020397296323525E-2</v>
      </c>
      <c r="G22" s="448">
        <f t="shared" si="1"/>
        <v>917</v>
      </c>
      <c r="H22" s="449">
        <f t="shared" si="3"/>
        <v>1.3377682466045196E-2</v>
      </c>
      <c r="I22" s="206"/>
      <c r="K22" s="119"/>
      <c r="N22" s="325"/>
      <c r="O22" s="206"/>
      <c r="P22" s="326"/>
      <c r="Q22" s="206"/>
    </row>
    <row r="23" spans="1:17">
      <c r="A23" s="114"/>
      <c r="B23" s="13"/>
      <c r="C23" s="12"/>
      <c r="D23" s="102" t="s">
        <v>687</v>
      </c>
      <c r="E23" s="446">
        <f t="shared" si="0"/>
        <v>40694073.499999911</v>
      </c>
      <c r="F23" s="447">
        <f t="shared" si="2"/>
        <v>3.5956968247963801E-2</v>
      </c>
      <c r="G23" s="448">
        <f t="shared" si="1"/>
        <v>3783</v>
      </c>
      <c r="H23" s="449">
        <f t="shared" si="3"/>
        <v>5.5188410871372925E-2</v>
      </c>
      <c r="I23" s="206"/>
      <c r="K23" s="119"/>
      <c r="N23" s="325"/>
      <c r="O23" s="206"/>
      <c r="P23" s="326"/>
      <c r="Q23" s="206"/>
    </row>
    <row r="24" spans="1:17">
      <c r="A24" s="114"/>
      <c r="B24" s="13"/>
      <c r="C24" s="12"/>
      <c r="D24" s="102" t="s">
        <v>688</v>
      </c>
      <c r="E24" s="446">
        <f t="shared" si="0"/>
        <v>18166810.270000007</v>
      </c>
      <c r="F24" s="447">
        <f t="shared" si="2"/>
        <v>1.6052052887877501E-2</v>
      </c>
      <c r="G24" s="448">
        <f t="shared" si="1"/>
        <v>1070</v>
      </c>
      <c r="H24" s="449">
        <f t="shared" si="3"/>
        <v>1.5609727632135615E-2</v>
      </c>
      <c r="I24" s="206"/>
      <c r="K24" s="119"/>
      <c r="N24" s="325"/>
      <c r="O24" s="206"/>
      <c r="P24" s="326"/>
      <c r="Q24" s="206"/>
    </row>
    <row r="25" spans="1:17">
      <c r="A25" s="114"/>
      <c r="B25" s="13"/>
      <c r="C25" s="12"/>
      <c r="D25" s="102" t="s">
        <v>689</v>
      </c>
      <c r="E25" s="446">
        <f t="shared" si="0"/>
        <v>104336016.05000027</v>
      </c>
      <c r="F25" s="447">
        <f t="shared" si="2"/>
        <v>9.2190495901790445E-2</v>
      </c>
      <c r="G25" s="448">
        <f t="shared" si="1"/>
        <v>8030</v>
      </c>
      <c r="H25" s="449">
        <f t="shared" si="3"/>
        <v>0.11714589989350373</v>
      </c>
      <c r="I25" s="206"/>
      <c r="K25" s="119"/>
      <c r="N25" s="325"/>
      <c r="O25" s="206"/>
      <c r="P25" s="326"/>
      <c r="Q25" s="206"/>
    </row>
    <row r="26" spans="1:17">
      <c r="A26" s="114"/>
      <c r="B26" s="13"/>
      <c r="C26" s="12"/>
      <c r="D26" s="102" t="s">
        <v>690</v>
      </c>
      <c r="E26" s="446">
        <f t="shared" si="0"/>
        <v>629307632.00000131</v>
      </c>
      <c r="F26" s="447">
        <f t="shared" si="2"/>
        <v>0.55605135086870539</v>
      </c>
      <c r="G26" s="448">
        <f t="shared" si="1"/>
        <v>29548</v>
      </c>
      <c r="H26" s="449">
        <f t="shared" si="3"/>
        <v>0.43106189913490012</v>
      </c>
      <c r="I26" s="206"/>
      <c r="K26" s="119"/>
      <c r="N26" s="325"/>
      <c r="O26" s="206"/>
      <c r="P26" s="326"/>
      <c r="Q26" s="206"/>
    </row>
    <row r="27" spans="1:17">
      <c r="A27" s="114"/>
      <c r="B27" s="13"/>
      <c r="C27" s="12"/>
      <c r="D27" s="102" t="s">
        <v>693</v>
      </c>
      <c r="E27" s="446">
        <f t="shared" si="0"/>
        <v>221493041.7699993</v>
      </c>
      <c r="F27" s="447">
        <f t="shared" si="2"/>
        <v>0.19570953667414989</v>
      </c>
      <c r="G27" s="448">
        <f t="shared" si="1"/>
        <v>8329</v>
      </c>
      <c r="H27" s="449">
        <f t="shared" si="3"/>
        <v>0.12150787051220331</v>
      </c>
      <c r="I27" s="206"/>
      <c r="K27" s="119"/>
      <c r="N27" s="325"/>
      <c r="O27" s="206"/>
      <c r="P27" s="326"/>
      <c r="Q27" s="206"/>
    </row>
    <row r="28" spans="1:17">
      <c r="A28" s="114"/>
      <c r="B28" s="13"/>
      <c r="C28" s="12"/>
      <c r="D28" s="102" t="s">
        <v>694</v>
      </c>
      <c r="E28" s="446">
        <f t="shared" si="0"/>
        <v>29686634.100000001</v>
      </c>
      <c r="F28" s="447">
        <f t="shared" si="2"/>
        <v>2.62308800253831E-2</v>
      </c>
      <c r="G28" s="448">
        <f t="shared" si="1"/>
        <v>917</v>
      </c>
      <c r="H28" s="449">
        <f t="shared" si="3"/>
        <v>1.3377682466045196E-2</v>
      </c>
      <c r="I28" s="206"/>
      <c r="K28" s="119"/>
      <c r="N28" s="325"/>
      <c r="O28" s="206"/>
      <c r="P28" s="326"/>
      <c r="Q28" s="206"/>
    </row>
    <row r="29" spans="1:17" ht="13" thickBot="1">
      <c r="A29" s="114"/>
      <c r="B29" s="13"/>
      <c r="C29" s="12"/>
      <c r="D29" s="102" t="s">
        <v>695</v>
      </c>
      <c r="E29" s="446">
        <f t="shared" si="0"/>
        <v>1439714.6999999995</v>
      </c>
      <c r="F29" s="447">
        <f t="shared" si="2"/>
        <v>1.272120761123283E-3</v>
      </c>
      <c r="G29" s="448">
        <f t="shared" si="1"/>
        <v>52</v>
      </c>
      <c r="H29" s="449">
        <f t="shared" si="3"/>
        <v>7.5860358586079624E-4</v>
      </c>
      <c r="I29" s="206"/>
      <c r="K29" s="119"/>
      <c r="N29" s="325"/>
      <c r="O29" s="206"/>
      <c r="P29" s="326"/>
      <c r="Q29" s="206"/>
    </row>
    <row r="30" spans="1:17" ht="14" thickTop="1" thickBot="1">
      <c r="A30" s="114"/>
      <c r="B30" s="13"/>
      <c r="C30" s="12"/>
      <c r="D30" s="435" t="s">
        <v>36</v>
      </c>
      <c r="E30" s="482">
        <f>SUM(E14:E29)</f>
        <v>1131743733.7700007</v>
      </c>
      <c r="F30" s="793">
        <f>SUM(F14:F29)</f>
        <v>1.0000000000000002</v>
      </c>
      <c r="G30" s="484">
        <f>SUM(G14:G29)</f>
        <v>68547</v>
      </c>
      <c r="H30" s="485">
        <f>SUM(H14:H29)</f>
        <v>1</v>
      </c>
      <c r="K30" s="119"/>
      <c r="M30" s="144"/>
      <c r="N30" s="436"/>
      <c r="O30" s="450"/>
      <c r="P30" s="437"/>
      <c r="Q30" s="450"/>
    </row>
    <row r="31" spans="1:17" ht="18" customHeight="1">
      <c r="A31" s="114"/>
      <c r="B31" s="13"/>
      <c r="C31" s="12"/>
      <c r="K31" s="119"/>
    </row>
    <row r="32" spans="1:17">
      <c r="A32" s="114"/>
      <c r="B32" s="13"/>
      <c r="C32" s="12"/>
      <c r="K32" s="119"/>
    </row>
    <row r="33" spans="1:14">
      <c r="A33" s="114"/>
      <c r="B33" s="13"/>
      <c r="C33" s="12"/>
      <c r="E33" s="451"/>
      <c r="K33" s="119"/>
      <c r="N33" s="451"/>
    </row>
    <row r="34" spans="1:14" ht="13.5" thickBot="1">
      <c r="A34" s="114"/>
      <c r="B34" s="13"/>
      <c r="C34" s="12"/>
      <c r="D34" s="452" t="s">
        <v>70</v>
      </c>
      <c r="E34" s="452"/>
      <c r="I34" s="211"/>
      <c r="K34" s="119"/>
    </row>
    <row r="35" spans="1:14" ht="13" thickBot="1">
      <c r="A35" s="114"/>
      <c r="B35" s="13"/>
      <c r="C35" s="12"/>
      <c r="D35" s="453" t="s">
        <v>67</v>
      </c>
      <c r="E35" s="775">
        <f>VLOOKUP(CONCATENATE("origterm_",D35),Assets_Daten,3,0)</f>
        <v>92.280979480752904</v>
      </c>
      <c r="K35" s="119"/>
    </row>
    <row r="36" spans="1:14">
      <c r="A36" s="114"/>
      <c r="B36" s="13"/>
      <c r="C36" s="12"/>
      <c r="D36" s="188"/>
      <c r="E36" s="220"/>
      <c r="K36" s="119"/>
    </row>
    <row r="37" spans="1:14">
      <c r="A37" s="114"/>
      <c r="B37" s="13"/>
      <c r="C37" s="12"/>
      <c r="D37" s="187"/>
      <c r="E37" s="220"/>
      <c r="K37" s="119"/>
    </row>
    <row r="38" spans="1:14">
      <c r="A38" s="114"/>
      <c r="B38" s="13"/>
      <c r="C38" s="12"/>
      <c r="K38" s="119"/>
    </row>
    <row r="39" spans="1:14">
      <c r="A39" s="114"/>
      <c r="B39" s="13"/>
      <c r="C39" s="12"/>
      <c r="K39" s="119"/>
    </row>
    <row r="40" spans="1:14">
      <c r="A40" s="114"/>
      <c r="B40" s="13"/>
      <c r="C40" s="12"/>
      <c r="K40" s="119"/>
    </row>
    <row r="41" spans="1:14">
      <c r="A41" s="114"/>
      <c r="B41" s="13"/>
      <c r="C41" s="12"/>
      <c r="K41" s="119"/>
    </row>
    <row r="42" spans="1:14">
      <c r="A42" s="114"/>
      <c r="B42" s="13"/>
      <c r="C42" s="12"/>
      <c r="K42" s="119"/>
    </row>
    <row r="43" spans="1:14">
      <c r="A43" s="114"/>
      <c r="B43" s="13"/>
      <c r="C43" s="12"/>
      <c r="K43" s="119"/>
    </row>
    <row r="44" spans="1:14">
      <c r="A44" s="114"/>
      <c r="B44" s="13"/>
      <c r="C44" s="12"/>
      <c r="K44" s="119"/>
    </row>
    <row r="45" spans="1:14">
      <c r="A45" s="114"/>
      <c r="B45" s="13"/>
      <c r="C45" s="12"/>
      <c r="K45" s="119"/>
    </row>
    <row r="46" spans="1:14">
      <c r="A46" s="114"/>
      <c r="B46" s="13"/>
      <c r="C46" s="12"/>
      <c r="K46" s="119"/>
    </row>
    <row r="47" spans="1:14">
      <c r="A47" s="114"/>
      <c r="B47" s="13"/>
      <c r="C47" s="12"/>
      <c r="K47" s="119"/>
    </row>
    <row r="48" spans="1:14">
      <c r="A48" s="114"/>
      <c r="B48" s="13"/>
      <c r="C48" s="12"/>
      <c r="K48" s="119"/>
    </row>
    <row r="49" spans="1:17">
      <c r="A49" s="114"/>
      <c r="B49" s="13"/>
      <c r="C49" s="12"/>
      <c r="K49" s="119"/>
    </row>
    <row r="50" spans="1:17">
      <c r="A50" s="114"/>
      <c r="B50" s="13"/>
      <c r="C50" s="12"/>
      <c r="K50" s="119"/>
    </row>
    <row r="51" spans="1:17">
      <c r="A51" s="114"/>
      <c r="B51" s="13"/>
      <c r="C51" s="12"/>
      <c r="K51" s="119"/>
    </row>
    <row r="52" spans="1:17">
      <c r="A52" s="114"/>
      <c r="B52" s="13"/>
      <c r="C52" s="12"/>
      <c r="K52" s="119"/>
    </row>
    <row r="53" spans="1:17">
      <c r="A53" s="114"/>
      <c r="B53" s="13"/>
      <c r="C53" s="12"/>
      <c r="K53" s="119"/>
    </row>
    <row r="54" spans="1:17">
      <c r="A54" s="114"/>
      <c r="B54" s="13"/>
      <c r="C54" s="12"/>
      <c r="K54" s="119"/>
    </row>
    <row r="55" spans="1:17">
      <c r="A55" s="150"/>
      <c r="B55" s="26"/>
      <c r="C55" s="10"/>
      <c r="D55" s="312"/>
      <c r="E55" s="10"/>
      <c r="F55" s="290"/>
      <c r="G55" s="313"/>
      <c r="H55" s="290"/>
      <c r="I55" s="349"/>
      <c r="J55" s="51"/>
      <c r="K55" s="152"/>
      <c r="M55" s="184"/>
      <c r="N55" s="12"/>
      <c r="O55" s="185"/>
      <c r="P55" s="186"/>
      <c r="Q55" s="185"/>
    </row>
    <row r="56" spans="1:17">
      <c r="A56" s="44"/>
      <c r="B56" s="13"/>
      <c r="C56" s="12"/>
      <c r="D56" s="184"/>
      <c r="E56" s="12"/>
      <c r="F56" s="185"/>
      <c r="G56" s="186"/>
      <c r="H56" s="185"/>
      <c r="I56" s="111"/>
      <c r="M56" s="184"/>
      <c r="N56" s="12"/>
      <c r="O56" s="185"/>
      <c r="P56" s="186"/>
      <c r="Q56" s="185"/>
    </row>
    <row r="57" spans="1:17">
      <c r="B57" s="13"/>
      <c r="C57" s="12"/>
      <c r="D57" s="184"/>
      <c r="E57" s="12"/>
      <c r="F57" s="185"/>
      <c r="G57" s="186"/>
      <c r="H57" s="185"/>
      <c r="I57" s="111"/>
      <c r="M57" s="184"/>
      <c r="N57" s="12"/>
      <c r="O57" s="185"/>
      <c r="P57" s="186"/>
      <c r="Q57" s="185"/>
    </row>
    <row r="58" spans="1:17">
      <c r="B58" s="13"/>
      <c r="C58" s="12"/>
      <c r="D58" s="184"/>
      <c r="E58" s="12"/>
      <c r="F58" s="185"/>
      <c r="G58" s="186"/>
      <c r="H58" s="185"/>
      <c r="I58" s="111"/>
      <c r="M58" s="184"/>
      <c r="N58" s="12"/>
      <c r="O58" s="185"/>
      <c r="P58" s="186"/>
      <c r="Q58" s="185"/>
    </row>
    <row r="59" spans="1:17" ht="15" customHeight="1">
      <c r="B59" s="13"/>
      <c r="C59" s="12"/>
      <c r="D59" s="184"/>
      <c r="E59" s="12"/>
      <c r="F59" s="185"/>
      <c r="G59" s="186"/>
      <c r="H59" s="185"/>
      <c r="I59" s="111"/>
      <c r="M59" s="184"/>
      <c r="N59" s="12"/>
      <c r="O59" s="185"/>
      <c r="P59" s="186"/>
      <c r="Q59" s="185"/>
    </row>
    <row r="60" spans="1:17">
      <c r="B60" s="13"/>
      <c r="C60" s="12"/>
      <c r="D60" s="184"/>
      <c r="E60" s="12"/>
      <c r="F60" s="185"/>
      <c r="G60" s="186"/>
      <c r="H60" s="185"/>
      <c r="I60" s="111"/>
      <c r="M60" s="184"/>
      <c r="N60" s="12"/>
      <c r="O60" s="185"/>
      <c r="P60" s="186"/>
      <c r="Q60" s="185"/>
    </row>
    <row r="61" spans="1:17">
      <c r="B61" s="13"/>
      <c r="C61" s="12"/>
      <c r="D61" s="184"/>
      <c r="E61" s="12"/>
      <c r="F61" s="185"/>
      <c r="G61" s="186"/>
      <c r="H61" s="185"/>
      <c r="I61" s="111"/>
      <c r="M61" s="184"/>
      <c r="N61" s="12"/>
      <c r="O61" s="185"/>
      <c r="P61" s="186"/>
      <c r="Q61" s="185"/>
    </row>
    <row r="62" spans="1:17">
      <c r="B62" s="13"/>
      <c r="C62" s="12"/>
      <c r="D62" s="184"/>
      <c r="E62" s="12"/>
      <c r="F62" s="185"/>
      <c r="G62" s="186"/>
      <c r="H62" s="185"/>
      <c r="I62" s="111"/>
      <c r="M62" s="184"/>
      <c r="N62" s="12"/>
      <c r="O62" s="185"/>
      <c r="P62" s="186"/>
      <c r="Q62" s="185"/>
    </row>
    <row r="63" spans="1:17">
      <c r="B63" s="13"/>
      <c r="C63" s="12"/>
      <c r="D63" s="184"/>
      <c r="E63" s="12"/>
      <c r="F63" s="185"/>
      <c r="G63" s="186"/>
      <c r="H63" s="185"/>
      <c r="I63" s="111"/>
      <c r="M63" s="184"/>
      <c r="N63" s="12"/>
      <c r="O63" s="185"/>
      <c r="P63" s="186"/>
      <c r="Q63" s="185"/>
    </row>
    <row r="64" spans="1:17">
      <c r="B64" s="13"/>
      <c r="C64" s="12"/>
      <c r="D64" s="184"/>
      <c r="E64" s="12"/>
      <c r="F64" s="185"/>
      <c r="G64" s="186"/>
      <c r="H64" s="185"/>
      <c r="I64" s="111"/>
      <c r="M64" s="184"/>
      <c r="N64" s="12"/>
      <c r="O64" s="185"/>
      <c r="P64" s="186"/>
      <c r="Q64" s="185"/>
    </row>
    <row r="65" spans="2:17">
      <c r="B65" s="13"/>
      <c r="C65" s="12"/>
      <c r="D65" s="184"/>
      <c r="E65" s="12"/>
      <c r="F65" s="185"/>
      <c r="G65" s="186"/>
      <c r="H65" s="185"/>
      <c r="I65" s="111"/>
      <c r="M65" s="184"/>
      <c r="N65" s="12"/>
      <c r="O65" s="185"/>
      <c r="P65" s="186"/>
      <c r="Q65" s="185"/>
    </row>
    <row r="66" spans="2:17">
      <c r="B66" s="13"/>
      <c r="C66" s="12"/>
      <c r="D66" s="184"/>
      <c r="E66" s="12"/>
      <c r="F66" s="185"/>
      <c r="G66" s="186"/>
      <c r="H66" s="185"/>
      <c r="I66" s="111"/>
      <c r="M66" s="184"/>
      <c r="N66" s="12"/>
      <c r="O66" s="185"/>
      <c r="P66" s="186"/>
      <c r="Q66" s="185"/>
    </row>
    <row r="67" spans="2:17">
      <c r="B67" s="13"/>
      <c r="C67" s="12"/>
      <c r="D67" s="184"/>
      <c r="E67" s="12"/>
      <c r="F67" s="185"/>
      <c r="G67" s="186"/>
      <c r="H67" s="185"/>
      <c r="I67" s="111"/>
      <c r="M67" s="184"/>
      <c r="N67" s="12"/>
      <c r="O67" s="185"/>
      <c r="P67" s="186"/>
      <c r="Q67" s="185"/>
    </row>
    <row r="68" spans="2:17">
      <c r="B68" s="13"/>
      <c r="C68" s="12"/>
      <c r="D68" s="184"/>
      <c r="E68" s="12"/>
      <c r="F68" s="185"/>
      <c r="G68" s="186"/>
      <c r="H68" s="185"/>
      <c r="I68" s="111"/>
      <c r="M68" s="184"/>
      <c r="N68" s="12"/>
      <c r="O68" s="185"/>
      <c r="P68" s="186"/>
      <c r="Q68" s="185"/>
    </row>
    <row r="69" spans="2:17">
      <c r="B69" s="13"/>
      <c r="C69" s="12"/>
      <c r="D69" s="184"/>
      <c r="E69" s="12"/>
      <c r="F69" s="185"/>
      <c r="G69" s="186"/>
      <c r="H69" s="185"/>
      <c r="I69" s="111"/>
      <c r="M69" s="184"/>
      <c r="N69" s="12"/>
      <c r="O69" s="185"/>
      <c r="P69" s="186"/>
      <c r="Q69" s="185"/>
    </row>
    <row r="70" spans="2:17">
      <c r="B70" s="13"/>
      <c r="C70" s="12"/>
      <c r="D70" s="184"/>
      <c r="E70" s="12"/>
      <c r="F70" s="185"/>
      <c r="G70" s="186"/>
      <c r="H70" s="185"/>
      <c r="I70" s="111"/>
      <c r="M70" s="184"/>
      <c r="N70" s="12"/>
      <c r="O70" s="185"/>
      <c r="P70" s="186"/>
      <c r="Q70" s="185"/>
    </row>
    <row r="71" spans="2:17">
      <c r="B71" s="13"/>
      <c r="C71" s="12"/>
      <c r="D71" s="184"/>
      <c r="E71" s="12"/>
      <c r="F71" s="185"/>
      <c r="G71" s="186"/>
      <c r="H71" s="185"/>
      <c r="I71" s="111"/>
      <c r="M71" s="184"/>
      <c r="N71" s="12"/>
      <c r="O71" s="185"/>
      <c r="P71" s="186"/>
      <c r="Q71" s="185"/>
    </row>
    <row r="72" spans="2:17">
      <c r="B72" s="13"/>
      <c r="C72" s="12"/>
      <c r="D72" s="184"/>
      <c r="E72" s="12"/>
      <c r="F72" s="185"/>
      <c r="G72" s="186"/>
      <c r="H72" s="185"/>
      <c r="I72" s="111"/>
      <c r="M72" s="184"/>
      <c r="N72" s="12"/>
      <c r="O72" s="185"/>
      <c r="P72" s="186"/>
      <c r="Q72" s="185"/>
    </row>
    <row r="73" spans="2:17">
      <c r="B73" s="13"/>
      <c r="C73" s="12"/>
      <c r="D73" s="184"/>
      <c r="E73" s="12"/>
      <c r="F73" s="185"/>
      <c r="G73" s="186"/>
      <c r="H73" s="185"/>
      <c r="I73" s="111"/>
      <c r="M73" s="184"/>
      <c r="N73" s="12"/>
      <c r="O73" s="185"/>
      <c r="P73" s="186"/>
      <c r="Q73" s="185"/>
    </row>
    <row r="74" spans="2:17">
      <c r="B74" s="13"/>
      <c r="C74" s="12"/>
      <c r="D74" s="184"/>
      <c r="E74" s="12"/>
      <c r="F74" s="185"/>
      <c r="G74" s="186"/>
      <c r="H74" s="185"/>
      <c r="I74" s="111"/>
      <c r="M74" s="184"/>
      <c r="N74" s="12"/>
      <c r="O74" s="185"/>
      <c r="P74" s="186"/>
      <c r="Q74" s="185"/>
    </row>
    <row r="75" spans="2:17">
      <c r="B75" s="13"/>
      <c r="C75" s="12"/>
      <c r="D75" s="184"/>
      <c r="E75" s="12"/>
      <c r="F75" s="185"/>
      <c r="G75" s="186"/>
      <c r="H75" s="185"/>
      <c r="I75" s="111"/>
      <c r="M75" s="184"/>
      <c r="N75" s="12"/>
      <c r="O75" s="185"/>
      <c r="P75" s="186"/>
      <c r="Q75" s="185"/>
    </row>
    <row r="76" spans="2:17">
      <c r="B76" s="13"/>
      <c r="C76" s="12"/>
      <c r="D76" s="184"/>
      <c r="E76" s="12"/>
      <c r="F76" s="185"/>
      <c r="G76" s="186"/>
      <c r="H76" s="185"/>
      <c r="I76" s="111"/>
      <c r="M76" s="184"/>
      <c r="N76" s="12"/>
      <c r="O76" s="185"/>
      <c r="P76" s="186"/>
      <c r="Q76" s="185"/>
    </row>
    <row r="77" spans="2:17">
      <c r="B77" s="13"/>
      <c r="C77" s="12"/>
      <c r="D77" s="184"/>
      <c r="E77" s="12"/>
      <c r="F77" s="185"/>
      <c r="G77" s="186"/>
      <c r="H77" s="185"/>
      <c r="I77" s="111"/>
      <c r="M77" s="184"/>
      <c r="N77" s="12"/>
      <c r="O77" s="185"/>
      <c r="P77" s="186"/>
      <c r="Q77" s="185"/>
    </row>
    <row r="78" spans="2:17">
      <c r="B78" s="13"/>
      <c r="C78" s="12"/>
      <c r="D78" s="184"/>
      <c r="E78" s="12"/>
      <c r="F78" s="185"/>
      <c r="G78" s="186"/>
      <c r="H78" s="185"/>
      <c r="I78" s="111"/>
      <c r="M78" s="184"/>
      <c r="N78" s="12"/>
      <c r="O78" s="185"/>
      <c r="P78" s="186"/>
      <c r="Q78" s="185"/>
    </row>
    <row r="79" spans="2:17">
      <c r="B79" s="13"/>
      <c r="C79" s="12"/>
      <c r="D79" s="184"/>
      <c r="E79" s="12"/>
      <c r="F79" s="185"/>
      <c r="G79" s="186"/>
      <c r="H79" s="185"/>
      <c r="I79" s="111"/>
      <c r="M79" s="184"/>
      <c r="N79" s="12"/>
      <c r="O79" s="185"/>
      <c r="P79" s="186"/>
      <c r="Q79" s="185"/>
    </row>
    <row r="80" spans="2:17">
      <c r="B80" s="13"/>
      <c r="C80" s="12"/>
      <c r="D80" s="184"/>
      <c r="E80" s="12"/>
      <c r="F80" s="185"/>
      <c r="G80" s="186"/>
      <c r="H80" s="185"/>
      <c r="I80" s="111"/>
      <c r="M80" s="184"/>
      <c r="N80" s="12"/>
      <c r="O80" s="185"/>
      <c r="P80" s="186"/>
      <c r="Q80" s="185"/>
    </row>
    <row r="81" spans="2:17">
      <c r="B81" s="13"/>
      <c r="C81" s="12"/>
      <c r="D81" s="184"/>
      <c r="E81" s="12"/>
      <c r="F81" s="185"/>
      <c r="G81" s="186"/>
      <c r="H81" s="185"/>
      <c r="I81" s="111"/>
      <c r="M81" s="184"/>
      <c r="N81" s="12"/>
      <c r="O81" s="185"/>
      <c r="P81" s="186"/>
      <c r="Q81" s="185"/>
    </row>
    <row r="82" spans="2:17">
      <c r="B82" s="13"/>
      <c r="C82" s="12"/>
      <c r="D82" s="184"/>
      <c r="E82" s="12"/>
      <c r="F82" s="185"/>
      <c r="G82" s="186"/>
      <c r="H82" s="185"/>
      <c r="I82" s="111"/>
      <c r="M82" s="184"/>
      <c r="N82" s="12"/>
      <c r="O82" s="185"/>
      <c r="P82" s="186"/>
      <c r="Q82" s="185"/>
    </row>
    <row r="83" spans="2:17">
      <c r="B83" s="13"/>
      <c r="C83" s="12"/>
      <c r="D83" s="184"/>
      <c r="E83" s="12"/>
      <c r="F83" s="185"/>
      <c r="G83" s="186"/>
      <c r="H83" s="185"/>
      <c r="I83" s="111"/>
      <c r="M83" s="184"/>
      <c r="N83" s="12"/>
      <c r="O83" s="185"/>
      <c r="P83" s="186"/>
      <c r="Q83" s="185"/>
    </row>
    <row r="84" spans="2:17">
      <c r="B84" s="13"/>
      <c r="C84" s="12"/>
      <c r="D84" s="184"/>
      <c r="E84" s="12"/>
      <c r="F84" s="185"/>
      <c r="G84" s="186"/>
      <c r="H84" s="185"/>
      <c r="I84" s="111"/>
      <c r="M84" s="184"/>
      <c r="N84" s="12"/>
      <c r="O84" s="185"/>
      <c r="P84" s="186"/>
      <c r="Q84" s="185"/>
    </row>
    <row r="85" spans="2:17">
      <c r="B85" s="13"/>
      <c r="C85" s="12"/>
      <c r="D85" s="184"/>
      <c r="E85" s="12"/>
      <c r="F85" s="185"/>
      <c r="G85" s="186"/>
      <c r="H85" s="185"/>
      <c r="I85" s="111"/>
      <c r="M85" s="184"/>
      <c r="N85" s="12"/>
      <c r="O85" s="185"/>
      <c r="P85" s="186"/>
      <c r="Q85" s="185"/>
    </row>
    <row r="86" spans="2:17">
      <c r="B86" s="13"/>
      <c r="C86" s="12"/>
      <c r="D86" s="184"/>
      <c r="E86" s="12"/>
      <c r="F86" s="185"/>
      <c r="G86" s="186"/>
      <c r="H86" s="185"/>
      <c r="I86" s="111"/>
      <c r="M86" s="184"/>
      <c r="N86" s="12"/>
      <c r="O86" s="185"/>
      <c r="P86" s="186"/>
      <c r="Q86" s="185"/>
    </row>
    <row r="87" spans="2:17">
      <c r="B87" s="13"/>
      <c r="C87" s="12"/>
      <c r="D87" s="184"/>
      <c r="E87" s="12"/>
      <c r="F87" s="185"/>
      <c r="G87" s="186"/>
      <c r="H87" s="185"/>
      <c r="I87" s="111"/>
      <c r="M87" s="184"/>
      <c r="N87" s="12"/>
      <c r="O87" s="185"/>
      <c r="P87" s="186"/>
      <c r="Q87" s="185"/>
    </row>
    <row r="88" spans="2:17">
      <c r="B88" s="13"/>
      <c r="C88" s="12"/>
      <c r="D88" s="184"/>
      <c r="E88" s="12"/>
      <c r="F88" s="185"/>
      <c r="G88" s="186"/>
      <c r="H88" s="185"/>
      <c r="I88" s="111"/>
      <c r="M88" s="184"/>
      <c r="N88" s="12"/>
      <c r="O88" s="185"/>
      <c r="P88" s="186"/>
      <c r="Q88" s="185"/>
    </row>
    <row r="89" spans="2:17">
      <c r="B89" s="13"/>
      <c r="C89" s="12"/>
      <c r="D89" s="187"/>
      <c r="E89" s="188"/>
      <c r="F89" s="219"/>
      <c r="G89" s="190"/>
      <c r="H89" s="219"/>
      <c r="I89" s="111"/>
      <c r="M89" s="187"/>
      <c r="N89" s="188"/>
      <c r="O89" s="219"/>
      <c r="P89" s="190"/>
      <c r="Q89" s="219"/>
    </row>
    <row r="90" spans="2:17">
      <c r="B90" s="13"/>
      <c r="C90" s="12"/>
      <c r="D90" s="187"/>
      <c r="E90" s="187"/>
      <c r="F90" s="187"/>
      <c r="G90" s="187"/>
      <c r="H90" s="187"/>
      <c r="I90" s="111"/>
      <c r="M90" s="187"/>
      <c r="N90" s="187"/>
      <c r="O90" s="187"/>
      <c r="P90" s="187"/>
      <c r="Q90" s="187"/>
    </row>
    <row r="91" spans="2:17">
      <c r="B91" s="13"/>
      <c r="C91" s="12"/>
      <c r="D91" s="187"/>
      <c r="E91" s="187"/>
      <c r="F91" s="187"/>
      <c r="G91" s="187"/>
      <c r="H91" s="187"/>
      <c r="I91" s="111"/>
      <c r="M91" s="187"/>
      <c r="N91" s="187"/>
      <c r="O91" s="187"/>
      <c r="P91" s="187"/>
      <c r="Q91" s="187"/>
    </row>
    <row r="92" spans="2:17">
      <c r="B92" s="13"/>
      <c r="C92" s="12"/>
      <c r="D92" s="191"/>
      <c r="E92" s="220"/>
      <c r="F92" s="187"/>
      <c r="G92" s="187"/>
      <c r="H92" s="187"/>
      <c r="I92" s="111"/>
      <c r="M92" s="191"/>
      <c r="N92" s="220"/>
      <c r="O92" s="187"/>
      <c r="P92" s="187"/>
      <c r="Q92" s="187"/>
    </row>
    <row r="93" spans="2:17">
      <c r="B93" s="13"/>
      <c r="C93" s="12"/>
      <c r="D93" s="188"/>
      <c r="E93" s="220"/>
      <c r="F93" s="187"/>
      <c r="G93" s="187"/>
      <c r="H93" s="187"/>
      <c r="I93" s="111"/>
      <c r="M93" s="188"/>
      <c r="N93" s="220"/>
      <c r="O93" s="187"/>
      <c r="P93" s="187"/>
      <c r="Q93" s="187"/>
    </row>
    <row r="94" spans="2:17">
      <c r="B94" s="13"/>
      <c r="C94" s="12"/>
      <c r="D94" s="187"/>
      <c r="E94" s="220"/>
      <c r="F94" s="187"/>
      <c r="G94" s="187"/>
      <c r="H94" s="187"/>
      <c r="I94" s="111"/>
      <c r="M94" s="187"/>
      <c r="N94" s="220"/>
      <c r="O94" s="187"/>
      <c r="P94" s="187"/>
      <c r="Q94" s="187"/>
    </row>
    <row r="95" spans="2:17" ht="14">
      <c r="B95" s="187"/>
      <c r="C95" s="188"/>
      <c r="D95" s="193"/>
      <c r="E95" s="193"/>
      <c r="F95" s="193"/>
      <c r="G95" s="193"/>
      <c r="H95" s="193"/>
      <c r="I95" s="111"/>
      <c r="M95" s="193"/>
      <c r="N95" s="193"/>
      <c r="O95" s="193"/>
      <c r="P95" s="193"/>
      <c r="Q95" s="193"/>
    </row>
    <row r="96" spans="2:17" ht="14">
      <c r="D96" s="193"/>
      <c r="E96" s="193"/>
      <c r="F96" s="193"/>
      <c r="G96" s="193"/>
      <c r="H96" s="193"/>
      <c r="I96" s="111"/>
      <c r="M96" s="193"/>
      <c r="N96" s="193"/>
      <c r="O96" s="193"/>
      <c r="P96" s="193"/>
      <c r="Q96" s="193"/>
    </row>
    <row r="97" spans="2:17" ht="14">
      <c r="D97" s="194"/>
      <c r="E97" s="221"/>
      <c r="F97" s="193"/>
      <c r="G97" s="193"/>
      <c r="H97" s="193"/>
      <c r="I97" s="111"/>
      <c r="M97" s="194"/>
      <c r="N97" s="221"/>
      <c r="O97" s="193"/>
      <c r="P97" s="193"/>
      <c r="Q97" s="193"/>
    </row>
    <row r="98" spans="2:17" ht="14">
      <c r="B98" s="191"/>
      <c r="C98" s="220"/>
      <c r="D98" s="196"/>
      <c r="E98" s="221"/>
      <c r="F98" s="193"/>
      <c r="G98" s="193"/>
      <c r="H98" s="193"/>
      <c r="I98" s="111"/>
      <c r="M98" s="196"/>
      <c r="N98" s="221"/>
      <c r="O98" s="193"/>
      <c r="P98" s="193"/>
      <c r="Q98" s="193"/>
    </row>
    <row r="99" spans="2:17" ht="14">
      <c r="B99" s="197"/>
      <c r="C99" s="220"/>
      <c r="D99" s="193"/>
      <c r="E99" s="221"/>
      <c r="F99" s="193"/>
      <c r="G99" s="193"/>
      <c r="H99" s="193"/>
      <c r="I99" s="111"/>
      <c r="M99" s="193"/>
      <c r="N99" s="221"/>
      <c r="O99" s="193"/>
      <c r="P99" s="193"/>
      <c r="Q99" s="193"/>
    </row>
    <row r="100" spans="2:17">
      <c r="C100" s="220"/>
      <c r="I100" s="111"/>
    </row>
    <row r="101" spans="2:17">
      <c r="I101" s="111"/>
    </row>
    <row r="102" spans="2:17">
      <c r="I102" s="111"/>
    </row>
    <row r="103" spans="2:17">
      <c r="I103" s="111"/>
    </row>
    <row r="104" spans="2:17">
      <c r="I104" s="111"/>
    </row>
    <row r="105" spans="2:17">
      <c r="I105" s="111"/>
    </row>
    <row r="106" spans="2:17">
      <c r="I106" s="111"/>
    </row>
    <row r="107" spans="2:17">
      <c r="I107" s="111"/>
    </row>
    <row r="108" spans="2:17">
      <c r="I108" s="111"/>
    </row>
    <row r="109" spans="2:17">
      <c r="I109" s="111"/>
    </row>
    <row r="110" spans="2:17">
      <c r="I110" s="111"/>
    </row>
    <row r="111" spans="2:17">
      <c r="I111" s="111"/>
    </row>
    <row r="112" spans="2:17">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299" spans="9:9">
      <c r="I299" s="111"/>
    </row>
    <row r="300" spans="9:9">
      <c r="I300" s="111"/>
    </row>
    <row r="301" spans="9:9">
      <c r="I301" s="111"/>
    </row>
    <row r="302" spans="9:9">
      <c r="I302" s="111"/>
    </row>
    <row r="303" spans="9:9">
      <c r="I303" s="111"/>
    </row>
    <row r="304" spans="9:9">
      <c r="I304" s="111"/>
    </row>
    <row r="305" spans="9:9">
      <c r="I305" s="111"/>
    </row>
    <row r="306" spans="9:9">
      <c r="I306" s="111"/>
    </row>
    <row r="307" spans="9:9">
      <c r="I307" s="111"/>
    </row>
    <row r="308" spans="9:9">
      <c r="I308" s="111"/>
    </row>
    <row r="309" spans="9:9">
      <c r="I309" s="111"/>
    </row>
    <row r="310" spans="9:9">
      <c r="I310" s="111"/>
    </row>
    <row r="311" spans="9:9">
      <c r="I311" s="111"/>
    </row>
    <row r="312" spans="9:9">
      <c r="I312" s="111"/>
    </row>
    <row r="313" spans="9:9">
      <c r="I313" s="111"/>
    </row>
    <row r="314" spans="9:9">
      <c r="I314" s="111"/>
    </row>
    <row r="315" spans="9:9">
      <c r="I315" s="111"/>
    </row>
    <row r="316" spans="9:9">
      <c r="I316" s="111"/>
    </row>
    <row r="317" spans="9:9">
      <c r="I317" s="111"/>
    </row>
    <row r="318" spans="9:9">
      <c r="I318" s="111"/>
    </row>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row r="2258" s="18" customFormat="1"/>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54"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26" style="18" customWidth="1"/>
    <col min="3" max="3" width="24.1796875" style="18" customWidth="1"/>
    <col min="4" max="5" width="18.81640625" style="18" customWidth="1"/>
    <col min="6" max="6" width="20.81640625" style="18" customWidth="1"/>
    <col min="7" max="7" width="20.54296875" style="18" customWidth="1"/>
    <col min="8" max="8" width="19" style="18" customWidth="1"/>
    <col min="9" max="9" width="15.54296875" style="18" customWidth="1"/>
    <col min="10" max="10" width="25.54296875" style="18" customWidth="1"/>
    <col min="11" max="11" width="1.1796875" style="18" customWidth="1"/>
    <col min="12" max="12" width="4.1796875" style="18"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45911</v>
      </c>
      <c r="G2" s="116"/>
      <c r="H2" s="116"/>
      <c r="I2" s="116"/>
      <c r="J2" s="118"/>
      <c r="K2" s="321"/>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16</v>
      </c>
      <c r="G4" s="122"/>
      <c r="H4" s="127"/>
      <c r="I4" s="122"/>
      <c r="J4" s="128"/>
      <c r="K4" s="321"/>
    </row>
    <row r="5" spans="1:13" ht="18">
      <c r="A5" s="114"/>
      <c r="B5" s="129" t="s">
        <v>153</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45" customHeight="1">
      <c r="A13" s="114"/>
      <c r="B13" s="438"/>
      <c r="D13" s="203"/>
      <c r="E13" s="439"/>
      <c r="F13" s="202"/>
      <c r="G13" s="439"/>
      <c r="H13" s="439"/>
      <c r="I13" s="111"/>
      <c r="K13" s="119"/>
      <c r="M13" s="111"/>
    </row>
    <row r="14" spans="1:13">
      <c r="A14" s="114"/>
      <c r="B14" s="168"/>
      <c r="C14" s="168"/>
      <c r="D14" s="184"/>
      <c r="E14" s="12"/>
      <c r="F14" s="185"/>
      <c r="G14" s="186"/>
      <c r="H14" s="185"/>
      <c r="I14" s="111"/>
      <c r="K14" s="119"/>
      <c r="M14" s="111"/>
    </row>
    <row r="15" spans="1:13">
      <c r="A15" s="114"/>
      <c r="B15" s="13"/>
      <c r="C15" s="12"/>
      <c r="D15" s="184"/>
      <c r="E15" s="12"/>
      <c r="F15" s="185"/>
      <c r="G15" s="186"/>
      <c r="H15" s="185"/>
      <c r="I15" s="111"/>
      <c r="K15" s="119"/>
      <c r="M15" s="111"/>
    </row>
    <row r="16" spans="1:13">
      <c r="A16" s="114"/>
      <c r="B16" s="13"/>
      <c r="C16" s="12"/>
      <c r="D16" s="184"/>
      <c r="E16" s="12"/>
      <c r="F16" s="185"/>
      <c r="G16" s="186"/>
      <c r="H16" s="185"/>
      <c r="I16" s="111"/>
      <c r="K16" s="119"/>
      <c r="M16" s="111"/>
    </row>
    <row r="17" spans="1:13">
      <c r="A17" s="114"/>
      <c r="B17" s="13"/>
      <c r="C17" s="12"/>
      <c r="D17" s="184"/>
      <c r="E17" s="12"/>
      <c r="F17" s="185"/>
      <c r="G17" s="186"/>
      <c r="H17" s="185"/>
      <c r="I17" s="111"/>
      <c r="K17" s="119"/>
      <c r="M17" s="111"/>
    </row>
    <row r="18" spans="1:13">
      <c r="A18" s="114"/>
      <c r="B18" s="13"/>
      <c r="C18" s="12"/>
      <c r="D18" s="184"/>
      <c r="E18" s="12"/>
      <c r="F18" s="185"/>
      <c r="G18" s="186"/>
      <c r="H18" s="185"/>
      <c r="I18" s="111"/>
      <c r="K18" s="119"/>
      <c r="M18" s="111"/>
    </row>
    <row r="19" spans="1:13">
      <c r="A19" s="114"/>
      <c r="B19" s="13"/>
      <c r="C19" s="12"/>
      <c r="D19" s="184"/>
      <c r="E19" s="12"/>
      <c r="F19" s="185"/>
      <c r="G19" s="186"/>
      <c r="H19" s="185"/>
      <c r="I19" s="111"/>
      <c r="K19" s="119"/>
      <c r="M19" s="111"/>
    </row>
    <row r="20" spans="1:13">
      <c r="A20" s="114"/>
      <c r="B20" s="13"/>
      <c r="C20" s="12"/>
      <c r="D20" s="184"/>
      <c r="E20" s="12"/>
      <c r="F20" s="185"/>
      <c r="G20" s="186"/>
      <c r="H20" s="185"/>
      <c r="I20" s="111"/>
      <c r="K20" s="119"/>
      <c r="M20" s="111"/>
    </row>
    <row r="21" spans="1:13">
      <c r="A21" s="114"/>
      <c r="B21" s="13"/>
      <c r="C21" s="12"/>
      <c r="D21" s="101"/>
      <c r="E21" s="12"/>
      <c r="F21" s="185"/>
      <c r="G21" s="186"/>
      <c r="H21" s="185"/>
      <c r="I21" s="111"/>
      <c r="K21" s="119"/>
      <c r="M21" s="111"/>
    </row>
    <row r="22" spans="1:13">
      <c r="A22" s="114"/>
      <c r="B22" s="13"/>
      <c r="C22" s="12"/>
      <c r="D22" s="184"/>
      <c r="E22" s="12"/>
      <c r="F22" s="185"/>
      <c r="G22" s="186"/>
      <c r="H22" s="185"/>
      <c r="I22" s="111"/>
      <c r="K22" s="119"/>
      <c r="M22" s="111"/>
    </row>
    <row r="23" spans="1:13">
      <c r="A23" s="114"/>
      <c r="B23" s="13"/>
      <c r="C23" s="12"/>
      <c r="D23" s="184"/>
      <c r="E23" s="12"/>
      <c r="F23" s="185"/>
      <c r="G23" s="186"/>
      <c r="H23" s="185"/>
      <c r="I23" s="111"/>
      <c r="K23" s="119"/>
      <c r="M23" s="111"/>
    </row>
    <row r="24" spans="1:13">
      <c r="A24" s="114"/>
      <c r="B24" s="13"/>
      <c r="C24" s="12"/>
      <c r="D24" s="184"/>
      <c r="E24" s="12"/>
      <c r="F24" s="185"/>
      <c r="G24" s="186"/>
      <c r="H24" s="185"/>
      <c r="I24" s="111"/>
      <c r="K24" s="119"/>
      <c r="M24" s="111"/>
    </row>
    <row r="25" spans="1:13">
      <c r="A25" s="114"/>
      <c r="B25" s="13"/>
      <c r="C25" s="12"/>
      <c r="D25" s="184"/>
      <c r="E25" s="12"/>
      <c r="F25" s="185"/>
      <c r="G25" s="186"/>
      <c r="H25" s="185"/>
      <c r="I25" s="111"/>
      <c r="K25" s="119"/>
      <c r="M25" s="111"/>
    </row>
    <row r="26" spans="1:13">
      <c r="A26" s="114"/>
      <c r="B26" s="13"/>
      <c r="C26" s="12"/>
      <c r="D26" s="184"/>
      <c r="E26" s="12"/>
      <c r="F26" s="185"/>
      <c r="G26" s="186"/>
      <c r="H26" s="185"/>
      <c r="I26" s="111"/>
      <c r="K26" s="119"/>
      <c r="M26" s="111"/>
    </row>
    <row r="27" spans="1:13">
      <c r="A27" s="114"/>
      <c r="B27" s="13"/>
      <c r="C27" s="12"/>
      <c r="D27" s="184"/>
      <c r="E27" s="12"/>
      <c r="F27" s="185"/>
      <c r="G27" s="186"/>
      <c r="H27" s="185"/>
      <c r="I27" s="111"/>
      <c r="K27" s="119"/>
      <c r="M27" s="111"/>
    </row>
    <row r="28" spans="1:13">
      <c r="A28" s="114"/>
      <c r="B28" s="13"/>
      <c r="C28" s="12"/>
      <c r="D28" s="184"/>
      <c r="E28" s="12"/>
      <c r="F28" s="185"/>
      <c r="G28" s="186"/>
      <c r="H28" s="185"/>
      <c r="I28" s="111"/>
      <c r="K28" s="119"/>
      <c r="M28" s="111"/>
    </row>
    <row r="29" spans="1:13">
      <c r="A29" s="114"/>
      <c r="B29" s="13"/>
      <c r="C29" s="12"/>
      <c r="D29" s="184"/>
      <c r="E29" s="12"/>
      <c r="F29" s="185"/>
      <c r="G29" s="186"/>
      <c r="H29" s="185"/>
      <c r="I29" s="111"/>
      <c r="K29" s="119"/>
      <c r="M29" s="111"/>
    </row>
    <row r="30" spans="1:13">
      <c r="A30" s="114"/>
      <c r="B30" s="13"/>
      <c r="C30" s="12"/>
      <c r="D30" s="184"/>
      <c r="E30" s="12"/>
      <c r="F30" s="185"/>
      <c r="G30" s="186"/>
      <c r="H30" s="185"/>
      <c r="I30" s="111"/>
      <c r="J30" s="111"/>
      <c r="K30" s="119"/>
      <c r="M30" s="111"/>
    </row>
    <row r="31" spans="1:13">
      <c r="A31" s="114"/>
      <c r="B31" s="13"/>
      <c r="C31" s="12"/>
      <c r="D31" s="184"/>
      <c r="E31" s="12"/>
      <c r="F31" s="185"/>
      <c r="G31" s="186"/>
      <c r="H31" s="185"/>
      <c r="I31" s="111"/>
      <c r="J31" s="111"/>
      <c r="K31" s="119"/>
    </row>
    <row r="32" spans="1:13">
      <c r="A32" s="114"/>
      <c r="B32" s="13"/>
      <c r="C32" s="12"/>
      <c r="D32" s="184"/>
      <c r="E32" s="12"/>
      <c r="F32" s="185"/>
      <c r="G32" s="186"/>
      <c r="H32" s="185"/>
      <c r="I32" s="111"/>
      <c r="J32" s="111"/>
      <c r="K32" s="119"/>
    </row>
    <row r="33" spans="1:11">
      <c r="A33" s="114"/>
      <c r="B33" s="13"/>
      <c r="C33" s="12"/>
      <c r="D33" s="184"/>
      <c r="E33" s="12"/>
      <c r="F33" s="185"/>
      <c r="G33" s="186"/>
      <c r="H33" s="185"/>
      <c r="I33" s="111"/>
      <c r="J33" s="111"/>
      <c r="K33" s="119"/>
    </row>
    <row r="34" spans="1:11">
      <c r="A34" s="114"/>
      <c r="B34" s="13"/>
      <c r="C34" s="12"/>
      <c r="D34" s="184"/>
      <c r="E34" s="12"/>
      <c r="F34" s="185"/>
      <c r="G34" s="186"/>
      <c r="H34" s="185"/>
      <c r="I34" s="111"/>
      <c r="J34" s="111"/>
      <c r="K34" s="119"/>
    </row>
    <row r="35" spans="1:11">
      <c r="A35" s="114"/>
      <c r="B35" s="13"/>
      <c r="C35" s="12"/>
      <c r="D35" s="184"/>
      <c r="E35" s="12"/>
      <c r="F35" s="185"/>
      <c r="G35" s="186"/>
      <c r="H35" s="185"/>
      <c r="I35" s="111"/>
      <c r="J35" s="111"/>
      <c r="K35" s="119"/>
    </row>
    <row r="36" spans="1:11">
      <c r="A36" s="114"/>
      <c r="B36" s="13"/>
      <c r="C36" s="12"/>
      <c r="D36" s="184"/>
      <c r="E36" s="12"/>
      <c r="F36" s="185"/>
      <c r="G36" s="186"/>
      <c r="H36" s="185"/>
      <c r="I36" s="111"/>
      <c r="J36" s="111"/>
      <c r="K36" s="119"/>
    </row>
    <row r="37" spans="1:11">
      <c r="A37" s="114"/>
      <c r="B37" s="13"/>
      <c r="C37" s="12"/>
      <c r="D37" s="184"/>
      <c r="E37" s="12"/>
      <c r="F37" s="185"/>
      <c r="G37" s="186"/>
      <c r="H37" s="185"/>
      <c r="I37" s="111"/>
      <c r="J37" s="111"/>
      <c r="K37" s="119"/>
    </row>
    <row r="38" spans="1:11">
      <c r="A38" s="114"/>
      <c r="B38" s="13"/>
      <c r="C38" s="12"/>
      <c r="D38" s="184"/>
      <c r="E38" s="12"/>
      <c r="F38" s="185"/>
      <c r="G38" s="186"/>
      <c r="H38" s="185"/>
      <c r="I38" s="111"/>
      <c r="J38" s="111"/>
      <c r="K38" s="119"/>
    </row>
    <row r="39" spans="1:11">
      <c r="A39" s="114"/>
      <c r="B39" s="13"/>
      <c r="C39" s="12"/>
      <c r="D39" s="184"/>
      <c r="E39" s="12"/>
      <c r="F39" s="185"/>
      <c r="G39" s="186"/>
      <c r="H39" s="185"/>
      <c r="I39" s="111"/>
      <c r="J39" s="111"/>
      <c r="K39" s="119"/>
    </row>
    <row r="40" spans="1:11">
      <c r="A40" s="114"/>
      <c r="B40" s="13"/>
      <c r="C40" s="12"/>
      <c r="D40" s="184"/>
      <c r="E40" s="12"/>
      <c r="F40" s="185"/>
      <c r="G40" s="186"/>
      <c r="H40" s="185"/>
      <c r="I40" s="111"/>
      <c r="K40" s="119"/>
    </row>
    <row r="41" spans="1:11">
      <c r="A41" s="114"/>
      <c r="B41" s="13"/>
      <c r="C41" s="12"/>
      <c r="D41" s="184"/>
      <c r="E41" s="12"/>
      <c r="F41" s="185"/>
      <c r="G41" s="186"/>
      <c r="H41" s="185"/>
      <c r="I41" s="111"/>
      <c r="K41" s="119"/>
    </row>
    <row r="42" spans="1:11">
      <c r="A42" s="114"/>
      <c r="B42" s="13"/>
      <c r="C42" s="12"/>
      <c r="D42" s="184"/>
      <c r="E42" s="12"/>
      <c r="F42" s="185"/>
      <c r="G42" s="186"/>
      <c r="H42" s="185"/>
      <c r="I42" s="111"/>
      <c r="K42" s="119"/>
    </row>
    <row r="43" spans="1:11">
      <c r="A43" s="114"/>
      <c r="B43" s="13"/>
      <c r="C43" s="12"/>
      <c r="D43" s="184"/>
      <c r="E43" s="12"/>
      <c r="F43" s="185"/>
      <c r="G43" s="186"/>
      <c r="H43" s="185"/>
      <c r="I43" s="111"/>
      <c r="K43" s="119"/>
    </row>
    <row r="44" spans="1:11">
      <c r="A44" s="114"/>
      <c r="B44" s="13"/>
      <c r="C44" s="12"/>
      <c r="D44" s="184"/>
      <c r="E44" s="12"/>
      <c r="F44" s="185"/>
      <c r="G44" s="186"/>
      <c r="H44" s="185"/>
      <c r="I44" s="111"/>
      <c r="K44" s="119"/>
    </row>
    <row r="45" spans="1:11" ht="12.75" customHeight="1">
      <c r="A45" s="114"/>
      <c r="B45" s="13"/>
      <c r="C45" s="12"/>
      <c r="D45" s="184"/>
      <c r="E45" s="12"/>
      <c r="F45" s="185"/>
      <c r="G45" s="186"/>
      <c r="H45" s="185"/>
      <c r="I45" s="111"/>
      <c r="K45" s="119"/>
    </row>
    <row r="46" spans="1:11">
      <c r="A46" s="114"/>
      <c r="B46" s="13"/>
      <c r="C46" s="12"/>
      <c r="D46" s="184"/>
      <c r="E46" s="12"/>
      <c r="F46" s="185"/>
      <c r="G46" s="186"/>
      <c r="H46" s="185"/>
      <c r="I46" s="111"/>
      <c r="K46" s="119"/>
    </row>
    <row r="47" spans="1:11">
      <c r="A47" s="150"/>
      <c r="B47" s="51"/>
      <c r="C47" s="51"/>
      <c r="D47" s="51"/>
      <c r="E47" s="51"/>
      <c r="F47" s="51"/>
      <c r="G47" s="51"/>
      <c r="H47" s="51"/>
      <c r="I47" s="349"/>
      <c r="J47" s="51"/>
      <c r="K47" s="152"/>
    </row>
    <row r="48" spans="1:11">
      <c r="I48" s="111"/>
    </row>
    <row r="49" spans="9:9">
      <c r="I49" s="111"/>
    </row>
    <row r="50" spans="9:9">
      <c r="I50" s="111"/>
    </row>
    <row r="51" spans="9:9">
      <c r="I51" s="111"/>
    </row>
    <row r="52" spans="9:9">
      <c r="I52" s="111"/>
    </row>
    <row r="53" spans="9:9">
      <c r="I53" s="111"/>
    </row>
    <row r="54" spans="9:9">
      <c r="I54" s="111"/>
    </row>
    <row r="55" spans="9:9">
      <c r="I55" s="111"/>
    </row>
    <row r="56" spans="9:9">
      <c r="I56" s="111"/>
    </row>
    <row r="57" spans="9:9">
      <c r="I57" s="111"/>
    </row>
    <row r="58" spans="9:9">
      <c r="I58" s="111"/>
    </row>
    <row r="59" spans="9:9">
      <c r="I59" s="111"/>
    </row>
    <row r="60" spans="9:9">
      <c r="I60" s="111"/>
    </row>
    <row r="61" spans="9:9">
      <c r="I61" s="111"/>
    </row>
    <row r="62" spans="9:9">
      <c r="I62" s="111"/>
    </row>
    <row r="63" spans="9:9">
      <c r="I63" s="111"/>
    </row>
    <row r="64" spans="9:9">
      <c r="I64" s="111"/>
    </row>
    <row r="65" spans="9:9">
      <c r="I65" s="111"/>
    </row>
    <row r="66" spans="9:9">
      <c r="I66" s="111"/>
    </row>
    <row r="67" spans="9:9">
      <c r="I67" s="111"/>
    </row>
    <row r="68" spans="9:9">
      <c r="I68" s="111"/>
    </row>
    <row r="69" spans="9:9">
      <c r="I69" s="111"/>
    </row>
    <row r="70" spans="9:9">
      <c r="I70" s="111"/>
    </row>
    <row r="71" spans="9:9">
      <c r="I71" s="111"/>
    </row>
    <row r="72" spans="9:9">
      <c r="I72" s="111"/>
    </row>
    <row r="73" spans="9:9">
      <c r="I73" s="111"/>
    </row>
    <row r="74" spans="9:9">
      <c r="I74" s="111"/>
    </row>
    <row r="75" spans="9:9">
      <c r="I75" s="111"/>
    </row>
    <row r="76" spans="9:9">
      <c r="I76" s="111"/>
    </row>
    <row r="77" spans="9:9">
      <c r="I77" s="111"/>
    </row>
    <row r="78" spans="9:9">
      <c r="I78" s="111"/>
    </row>
    <row r="79" spans="9:9">
      <c r="I79" s="111"/>
    </row>
    <row r="80" spans="9: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2249"/>
  <sheetViews>
    <sheetView view="pageBreakPreview" zoomScale="90" zoomScaleNormal="100" zoomScaleSheetLayoutView="90" workbookViewId="0">
      <selection activeCell="B3" sqref="B3"/>
    </sheetView>
  </sheetViews>
  <sheetFormatPr baseColWidth="10" defaultColWidth="9.1796875" defaultRowHeight="12.5"/>
  <cols>
    <col min="1" max="1" width="1.1796875" style="18" customWidth="1"/>
    <col min="2" max="2" width="26" style="18" customWidth="1"/>
    <col min="3" max="3" width="27.54296875" style="18" customWidth="1"/>
    <col min="4" max="4" width="18.81640625" style="18" customWidth="1"/>
    <col min="5" max="5" width="18.54296875" style="18" customWidth="1"/>
    <col min="6" max="6" width="19.54296875" style="18" customWidth="1"/>
    <col min="7" max="9" width="19" style="18" customWidth="1"/>
    <col min="10" max="10" width="15.453125" style="18" customWidth="1"/>
    <col min="11" max="11" width="1.1796875" style="18" customWidth="1"/>
    <col min="12" max="12" width="3.1796875" style="18" customWidth="1"/>
    <col min="13" max="13" width="18.81640625" style="18" customWidth="1"/>
    <col min="14" max="14" width="18.54296875" style="18" customWidth="1"/>
    <col min="15" max="15" width="19.54296875" style="18" customWidth="1"/>
    <col min="16" max="18" width="19" style="18" customWidth="1"/>
    <col min="19" max="16384" width="9.1796875" style="18"/>
  </cols>
  <sheetData>
    <row r="1" spans="1:18" ht="6" customHeight="1">
      <c r="A1" s="112"/>
      <c r="B1" s="44"/>
      <c r="C1" s="44"/>
      <c r="D1" s="44"/>
      <c r="E1" s="44"/>
      <c r="F1" s="44"/>
      <c r="G1" s="44"/>
      <c r="H1" s="44"/>
      <c r="I1" s="44"/>
      <c r="J1" s="44"/>
      <c r="K1" s="113"/>
    </row>
    <row r="2" spans="1:18" ht="18">
      <c r="A2" s="114"/>
      <c r="B2" s="42" t="str">
        <f>'Cover Sheet'!B2</f>
        <v>SC Germany Consumer 2024-1</v>
      </c>
      <c r="C2" s="42"/>
      <c r="D2" s="115" t="str">
        <f>'Cover Sheet'!D2</f>
        <v>Calculation Date</v>
      </c>
      <c r="E2" s="116"/>
      <c r="F2" s="117">
        <f>'Cover Sheet'!F2</f>
        <v>45911</v>
      </c>
      <c r="G2" s="116"/>
      <c r="H2" s="116"/>
      <c r="I2" s="116"/>
      <c r="J2" s="118"/>
      <c r="K2" s="321"/>
      <c r="M2" s="99"/>
      <c r="O2" s="421"/>
    </row>
    <row r="3" spans="1:18" ht="18">
      <c r="A3" s="114"/>
      <c r="B3" s="42" t="str">
        <f>'Cover Sheet'!B3</f>
        <v>Monthly Investor Report</v>
      </c>
      <c r="C3" s="42"/>
      <c r="D3" s="121" t="str">
        <f>'Cover Sheet'!D3</f>
        <v>Payment Date</v>
      </c>
      <c r="E3" s="122"/>
      <c r="F3" s="123">
        <f>'Cover Sheet'!F3</f>
        <v>45915</v>
      </c>
      <c r="G3" s="122"/>
      <c r="H3" s="122"/>
      <c r="I3" s="122"/>
      <c r="J3" s="124"/>
      <c r="K3" s="134"/>
      <c r="M3" s="99"/>
      <c r="O3" s="421"/>
    </row>
    <row r="4" spans="1:18" ht="13">
      <c r="A4" s="114"/>
      <c r="B4" s="120"/>
      <c r="C4" s="99"/>
      <c r="D4" s="121" t="str">
        <f>'Cover Sheet'!D4</f>
        <v>Period  No</v>
      </c>
      <c r="E4" s="122"/>
      <c r="F4" s="126">
        <f>'Cover Sheet'!F4</f>
        <v>16</v>
      </c>
      <c r="G4" s="122"/>
      <c r="H4" s="127"/>
      <c r="I4" s="122"/>
      <c r="J4" s="128"/>
      <c r="K4" s="321"/>
      <c r="M4" s="99"/>
      <c r="O4" s="422"/>
      <c r="Q4" s="99"/>
    </row>
    <row r="5" spans="1:18" ht="18">
      <c r="A5" s="114"/>
      <c r="B5" s="129" t="s">
        <v>154</v>
      </c>
      <c r="C5" s="129"/>
      <c r="D5" s="121" t="str">
        <f>'Cover Sheet'!D5</f>
        <v>Monthly Period</v>
      </c>
      <c r="E5" s="122"/>
      <c r="F5" s="130">
        <f>'Cover Sheet'!F5</f>
        <v>45915</v>
      </c>
      <c r="G5" s="122"/>
      <c r="H5" s="127"/>
      <c r="I5" s="122"/>
      <c r="J5" s="128"/>
      <c r="K5" s="134"/>
      <c r="M5" s="99"/>
      <c r="O5" s="423"/>
      <c r="Q5" s="99"/>
    </row>
    <row r="6" spans="1:18"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99"/>
      <c r="N6" s="81"/>
      <c r="O6" s="421"/>
      <c r="Q6" s="421"/>
    </row>
    <row r="7" spans="1:18" ht="13">
      <c r="A7" s="114"/>
      <c r="D7" s="136" t="str">
        <f>'Cover Sheet'!D7</f>
        <v>Collection Period</v>
      </c>
      <c r="E7" s="137" t="str">
        <f>'Cover Sheet'!E7</f>
        <v>from</v>
      </c>
      <c r="F7" s="138" t="str">
        <f>'Cover Sheet'!F7</f>
        <v>01.08.2025</v>
      </c>
      <c r="G7" s="137" t="str">
        <f>'Cover Sheet'!G7</f>
        <v>to</v>
      </c>
      <c r="H7" s="138">
        <f>'Cover Sheet'!H7</f>
        <v>45900</v>
      </c>
      <c r="I7" s="322"/>
      <c r="J7" s="162"/>
      <c r="K7" s="134"/>
      <c r="M7" s="99"/>
      <c r="O7" s="424"/>
      <c r="P7" s="81"/>
      <c r="Q7" s="421"/>
      <c r="R7" s="81"/>
    </row>
    <row r="8" spans="1:18" ht="13">
      <c r="A8" s="114"/>
      <c r="E8" s="142"/>
      <c r="F8" s="81"/>
      <c r="G8" s="142"/>
      <c r="I8" s="142"/>
      <c r="K8" s="134"/>
      <c r="N8" s="142"/>
      <c r="O8" s="81"/>
      <c r="P8" s="142"/>
      <c r="R8" s="142"/>
    </row>
    <row r="9" spans="1:18">
      <c r="A9" s="114"/>
      <c r="K9" s="119"/>
    </row>
    <row r="10" spans="1:18">
      <c r="A10" s="114"/>
      <c r="F10" s="111"/>
      <c r="K10" s="119"/>
      <c r="O10" s="111"/>
    </row>
    <row r="11" spans="1:18" ht="17.5">
      <c r="A11" s="114"/>
      <c r="B11" s="165"/>
      <c r="G11" s="323"/>
      <c r="H11" s="323"/>
      <c r="I11" s="323"/>
      <c r="K11" s="119"/>
      <c r="P11" s="323"/>
      <c r="Q11" s="323"/>
      <c r="R11" s="323"/>
    </row>
    <row r="12" spans="1:18" ht="13" thickBot="1">
      <c r="A12" s="114"/>
      <c r="G12" s="323"/>
      <c r="H12" s="323"/>
      <c r="I12" s="323"/>
      <c r="K12" s="119"/>
      <c r="P12" s="323"/>
      <c r="Q12" s="323"/>
      <c r="R12" s="323"/>
    </row>
    <row r="13" spans="1:18" ht="29.5" thickBot="1">
      <c r="A13" s="114"/>
      <c r="B13" s="168"/>
      <c r="C13" s="425" t="s">
        <v>101</v>
      </c>
      <c r="D13" s="426" t="s">
        <v>72</v>
      </c>
      <c r="E13" s="426" t="s">
        <v>114</v>
      </c>
      <c r="F13" s="426" t="s">
        <v>62</v>
      </c>
      <c r="G13" s="426" t="s">
        <v>115</v>
      </c>
      <c r="H13" s="426" t="s">
        <v>102</v>
      </c>
      <c r="I13" s="427" t="s">
        <v>116</v>
      </c>
      <c r="K13" s="119"/>
      <c r="M13" s="428"/>
      <c r="N13" s="429"/>
      <c r="O13" s="429"/>
      <c r="P13" s="429"/>
      <c r="Q13" s="429"/>
      <c r="R13" s="429"/>
    </row>
    <row r="14" spans="1:18">
      <c r="A14" s="114"/>
      <c r="B14" s="13"/>
      <c r="C14" s="430" t="s">
        <v>636</v>
      </c>
      <c r="D14" s="55">
        <f t="shared" ref="D14:D20" si="0">VLOOKUP(CONCATENATE("loanconc_",C14),Assets_Daten,3,0)</f>
        <v>1114312427.530005</v>
      </c>
      <c r="E14" s="56">
        <f>D14/$D$21</f>
        <v>0.98459783277797897</v>
      </c>
      <c r="F14" s="431">
        <f>H14*1</f>
        <v>66926</v>
      </c>
      <c r="G14" s="56">
        <f>F14/$F$21</f>
        <v>0.97635199206383938</v>
      </c>
      <c r="H14" s="431">
        <f t="shared" ref="H14:H20" si="1">VLOOKUP(CONCATENATE("loanconc_",C14),Assets_Daten,2,0)</f>
        <v>66926</v>
      </c>
      <c r="I14" s="57">
        <f>H14/$H$21</f>
        <v>0.9881731067373426</v>
      </c>
      <c r="K14" s="119"/>
      <c r="N14" s="432"/>
      <c r="O14" s="433"/>
      <c r="P14" s="329"/>
      <c r="R14" s="329"/>
    </row>
    <row r="15" spans="1:18">
      <c r="A15" s="114"/>
      <c r="B15" s="13"/>
      <c r="C15" s="430" t="s">
        <v>637</v>
      </c>
      <c r="D15" s="58">
        <f t="shared" si="0"/>
        <v>17172821.810000002</v>
      </c>
      <c r="E15" s="59">
        <f t="shared" ref="E15:E20" si="2">D15/$D$21</f>
        <v>1.517377238113332E-2</v>
      </c>
      <c r="F15" s="434">
        <f>H15*2</f>
        <v>1564</v>
      </c>
      <c r="G15" s="59">
        <f t="shared" ref="G15:G20" si="3">F15/$F$21</f>
        <v>2.2816461697813178E-2</v>
      </c>
      <c r="H15" s="434">
        <f t="shared" si="1"/>
        <v>782</v>
      </c>
      <c r="I15" s="60">
        <f t="shared" ref="I15:I20" si="4">H15/$H$21</f>
        <v>1.1546355220222364E-2</v>
      </c>
      <c r="K15" s="119"/>
      <c r="N15" s="432"/>
      <c r="O15" s="433"/>
      <c r="P15" s="329"/>
      <c r="R15" s="329"/>
    </row>
    <row r="16" spans="1:18">
      <c r="A16" s="114"/>
      <c r="B16" s="13"/>
      <c r="C16" s="430" t="s">
        <v>638</v>
      </c>
      <c r="D16" s="58">
        <f t="shared" si="0"/>
        <v>258484.42999999996</v>
      </c>
      <c r="E16" s="59">
        <f t="shared" si="2"/>
        <v>2.2839484088765419E-4</v>
      </c>
      <c r="F16" s="434">
        <f>H16*3</f>
        <v>57</v>
      </c>
      <c r="G16" s="59">
        <f t="shared" si="3"/>
        <v>8.3154623834741132E-4</v>
      </c>
      <c r="H16" s="434">
        <f t="shared" si="1"/>
        <v>19</v>
      </c>
      <c r="I16" s="60">
        <f t="shared" si="4"/>
        <v>2.805380424350702E-4</v>
      </c>
      <c r="K16" s="119"/>
      <c r="N16" s="432"/>
      <c r="O16" s="433"/>
      <c r="P16" s="329"/>
      <c r="R16" s="329"/>
    </row>
    <row r="17" spans="1:18">
      <c r="A17" s="114"/>
      <c r="B17" s="13"/>
      <c r="C17" s="430" t="s">
        <v>639</v>
      </c>
      <c r="D17" s="58">
        <f t="shared" si="0"/>
        <v>0</v>
      </c>
      <c r="E17" s="59">
        <f t="shared" si="2"/>
        <v>0</v>
      </c>
      <c r="F17" s="434">
        <f>H17*4</f>
        <v>0</v>
      </c>
      <c r="G17" s="59">
        <f t="shared" si="3"/>
        <v>0</v>
      </c>
      <c r="H17" s="434">
        <f t="shared" si="1"/>
        <v>0</v>
      </c>
      <c r="I17" s="60">
        <f t="shared" si="4"/>
        <v>0</v>
      </c>
      <c r="K17" s="119"/>
      <c r="N17" s="432"/>
      <c r="O17" s="433"/>
      <c r="P17" s="329"/>
      <c r="R17" s="329"/>
    </row>
    <row r="18" spans="1:18">
      <c r="A18" s="114"/>
      <c r="B18" s="13"/>
      <c r="C18" s="430" t="s">
        <v>640</v>
      </c>
      <c r="D18" s="58">
        <f t="shared" si="0"/>
        <v>0</v>
      </c>
      <c r="E18" s="59">
        <f t="shared" si="2"/>
        <v>0</v>
      </c>
      <c r="F18" s="434">
        <f>H18*5</f>
        <v>0</v>
      </c>
      <c r="G18" s="59">
        <f t="shared" si="3"/>
        <v>0</v>
      </c>
      <c r="H18" s="434">
        <f t="shared" si="1"/>
        <v>0</v>
      </c>
      <c r="I18" s="60">
        <f t="shared" si="4"/>
        <v>0</v>
      </c>
      <c r="K18" s="119"/>
      <c r="N18" s="432"/>
      <c r="O18" s="433"/>
      <c r="P18" s="329"/>
      <c r="R18" s="329"/>
    </row>
    <row r="19" spans="1:18">
      <c r="A19" s="114"/>
      <c r="B19" s="13"/>
      <c r="C19" s="430" t="s">
        <v>641</v>
      </c>
      <c r="D19" s="58">
        <f t="shared" si="0"/>
        <v>0</v>
      </c>
      <c r="E19" s="59">
        <f t="shared" si="2"/>
        <v>0</v>
      </c>
      <c r="F19" s="434">
        <f>H19*6</f>
        <v>0</v>
      </c>
      <c r="G19" s="59">
        <f t="shared" si="3"/>
        <v>0</v>
      </c>
      <c r="H19" s="434">
        <f t="shared" si="1"/>
        <v>0</v>
      </c>
      <c r="I19" s="60">
        <f t="shared" si="4"/>
        <v>0</v>
      </c>
      <c r="K19" s="119"/>
      <c r="N19" s="432"/>
      <c r="O19" s="433"/>
      <c r="P19" s="329"/>
      <c r="R19" s="329"/>
    </row>
    <row r="20" spans="1:18" ht="13" thickBot="1">
      <c r="A20" s="114"/>
      <c r="B20" s="13"/>
      <c r="C20" s="430" t="s">
        <v>696</v>
      </c>
      <c r="D20" s="58">
        <f t="shared" si="0"/>
        <v>0</v>
      </c>
      <c r="E20" s="59">
        <f t="shared" si="2"/>
        <v>0</v>
      </c>
      <c r="F20" s="434">
        <f>H20*7</f>
        <v>0</v>
      </c>
      <c r="G20" s="59">
        <f t="shared" si="3"/>
        <v>0</v>
      </c>
      <c r="H20" s="434">
        <f t="shared" si="1"/>
        <v>0</v>
      </c>
      <c r="I20" s="60">
        <f t="shared" si="4"/>
        <v>0</v>
      </c>
      <c r="K20" s="119"/>
      <c r="N20" s="432"/>
      <c r="O20" s="433"/>
      <c r="P20" s="329"/>
      <c r="R20" s="329"/>
    </row>
    <row r="21" spans="1:18" ht="14" thickTop="1" thickBot="1">
      <c r="A21" s="114"/>
      <c r="B21" s="13"/>
      <c r="C21" s="435" t="s">
        <v>103</v>
      </c>
      <c r="D21" s="482">
        <f>SUM(D14:D20)</f>
        <v>1131743733.770005</v>
      </c>
      <c r="E21" s="793">
        <f t="shared" ref="E21:I21" si="5">SUM(E14:E20)</f>
        <v>0.99999999999999989</v>
      </c>
      <c r="F21" s="484">
        <f t="shared" si="5"/>
        <v>68547</v>
      </c>
      <c r="G21" s="793">
        <f t="shared" si="5"/>
        <v>0.99999999999999989</v>
      </c>
      <c r="H21" s="484">
        <f t="shared" si="5"/>
        <v>67727</v>
      </c>
      <c r="I21" s="485">
        <f t="shared" si="5"/>
        <v>1</v>
      </c>
      <c r="K21" s="119"/>
      <c r="N21" s="432"/>
      <c r="O21" s="433"/>
      <c r="P21" s="329"/>
      <c r="R21" s="329"/>
    </row>
    <row r="22" spans="1:18" ht="13">
      <c r="A22" s="114"/>
      <c r="B22" s="13"/>
      <c r="C22" s="32"/>
      <c r="D22" s="436"/>
      <c r="E22" s="214"/>
      <c r="F22" s="437"/>
      <c r="G22" s="214"/>
      <c r="H22" s="437"/>
      <c r="I22" s="214"/>
      <c r="K22" s="119"/>
      <c r="N22" s="432"/>
      <c r="O22" s="433"/>
      <c r="P22" s="329"/>
      <c r="R22" s="329"/>
    </row>
    <row r="23" spans="1:18" ht="13">
      <c r="A23" s="114"/>
      <c r="B23" s="13"/>
      <c r="C23" s="32"/>
      <c r="D23" s="436"/>
      <c r="E23" s="214"/>
      <c r="F23" s="437"/>
      <c r="G23" s="214"/>
      <c r="H23" s="437"/>
      <c r="I23" s="214"/>
      <c r="K23" s="119"/>
      <c r="N23" s="432"/>
      <c r="O23" s="433"/>
      <c r="P23" s="329"/>
      <c r="R23" s="329"/>
    </row>
    <row r="24" spans="1:18" ht="13">
      <c r="A24" s="114"/>
      <c r="B24" s="13"/>
      <c r="C24" s="32"/>
      <c r="D24" s="436"/>
      <c r="E24" s="214"/>
      <c r="F24" s="437"/>
      <c r="G24" s="214"/>
      <c r="H24" s="437"/>
      <c r="I24" s="214"/>
      <c r="K24" s="119"/>
      <c r="N24" s="432"/>
      <c r="O24" s="433"/>
      <c r="P24" s="329"/>
      <c r="R24" s="329"/>
    </row>
    <row r="25" spans="1:18" ht="13">
      <c r="A25" s="114"/>
      <c r="B25" s="13"/>
      <c r="C25" s="32"/>
      <c r="D25" s="436"/>
      <c r="E25" s="214"/>
      <c r="F25" s="437"/>
      <c r="G25" s="214"/>
      <c r="H25" s="437"/>
      <c r="I25" s="214"/>
      <c r="K25" s="119"/>
      <c r="N25" s="432"/>
      <c r="O25" s="433"/>
      <c r="P25" s="329"/>
      <c r="R25" s="329"/>
    </row>
    <row r="26" spans="1:18" ht="13">
      <c r="A26" s="114"/>
      <c r="B26" s="13"/>
      <c r="C26" s="32"/>
      <c r="D26" s="436"/>
      <c r="E26" s="214"/>
      <c r="F26" s="437"/>
      <c r="G26" s="214"/>
      <c r="H26" s="437"/>
      <c r="I26" s="214"/>
      <c r="K26" s="119"/>
      <c r="N26" s="432"/>
      <c r="O26" s="433"/>
      <c r="P26" s="329"/>
      <c r="R26" s="329"/>
    </row>
    <row r="27" spans="1:18" ht="13">
      <c r="A27" s="114"/>
      <c r="B27" s="13"/>
      <c r="C27" s="32"/>
      <c r="D27" s="436"/>
      <c r="E27" s="214"/>
      <c r="F27" s="437"/>
      <c r="G27" s="214"/>
      <c r="H27" s="437"/>
      <c r="I27" s="214"/>
      <c r="K27" s="119"/>
      <c r="N27" s="432"/>
      <c r="O27" s="433"/>
      <c r="P27" s="329"/>
      <c r="R27" s="329"/>
    </row>
    <row r="28" spans="1:18" ht="13">
      <c r="A28" s="114"/>
      <c r="B28" s="13"/>
      <c r="C28" s="32"/>
      <c r="D28" s="436"/>
      <c r="E28" s="214"/>
      <c r="F28" s="437"/>
      <c r="G28" s="214"/>
      <c r="H28" s="437"/>
      <c r="I28" s="214"/>
      <c r="K28" s="119"/>
      <c r="N28" s="432"/>
      <c r="O28" s="433"/>
      <c r="P28" s="329"/>
      <c r="R28" s="329"/>
    </row>
    <row r="29" spans="1:18" ht="13">
      <c r="A29" s="114"/>
      <c r="B29" s="13"/>
      <c r="C29" s="32"/>
      <c r="D29" s="436"/>
      <c r="E29" s="214"/>
      <c r="F29" s="437"/>
      <c r="G29" s="214"/>
      <c r="H29" s="437"/>
      <c r="I29" s="214"/>
      <c r="K29" s="119"/>
      <c r="N29" s="432"/>
      <c r="O29" s="433"/>
      <c r="P29" s="329"/>
      <c r="R29" s="329"/>
    </row>
    <row r="30" spans="1:18">
      <c r="A30" s="114"/>
      <c r="B30" s="13"/>
      <c r="C30" s="12"/>
      <c r="K30" s="119"/>
    </row>
    <row r="31" spans="1:18">
      <c r="A31" s="114"/>
      <c r="B31" s="13"/>
      <c r="C31" s="12"/>
      <c r="K31" s="119"/>
    </row>
    <row r="32" spans="1:18">
      <c r="A32" s="114"/>
      <c r="B32" s="13"/>
      <c r="C32" s="12"/>
      <c r="K32" s="119"/>
    </row>
    <row r="33" spans="1:18">
      <c r="A33" s="114"/>
      <c r="B33" s="13"/>
      <c r="C33" s="12"/>
      <c r="K33" s="119"/>
    </row>
    <row r="34" spans="1:18">
      <c r="A34" s="114"/>
      <c r="B34" s="13"/>
      <c r="C34" s="12"/>
      <c r="K34" s="119"/>
    </row>
    <row r="35" spans="1:18">
      <c r="A35" s="114"/>
      <c r="B35" s="13"/>
      <c r="C35" s="12"/>
      <c r="K35" s="119"/>
    </row>
    <row r="36" spans="1:18">
      <c r="A36" s="114"/>
      <c r="B36" s="13"/>
      <c r="C36" s="12"/>
      <c r="K36" s="119"/>
    </row>
    <row r="37" spans="1:18">
      <c r="A37" s="114"/>
      <c r="B37" s="13"/>
      <c r="C37" s="12"/>
      <c r="K37" s="119"/>
    </row>
    <row r="38" spans="1:18">
      <c r="A38" s="114"/>
      <c r="B38" s="13"/>
      <c r="C38" s="12"/>
      <c r="K38" s="119"/>
    </row>
    <row r="39" spans="1:18">
      <c r="A39" s="114"/>
      <c r="B39" s="13"/>
      <c r="C39" s="12"/>
      <c r="K39" s="119"/>
    </row>
    <row r="40" spans="1:18">
      <c r="A40" s="114"/>
      <c r="B40" s="13"/>
      <c r="C40" s="12"/>
      <c r="K40" s="119"/>
    </row>
    <row r="41" spans="1:18">
      <c r="A41" s="114"/>
      <c r="B41" s="13"/>
      <c r="C41" s="12"/>
      <c r="K41" s="119"/>
    </row>
    <row r="42" spans="1:18">
      <c r="A42" s="114"/>
      <c r="B42" s="13"/>
      <c r="C42" s="12"/>
      <c r="K42" s="119"/>
    </row>
    <row r="43" spans="1:18">
      <c r="A43" s="114"/>
      <c r="B43" s="13"/>
      <c r="C43" s="12"/>
      <c r="K43" s="119"/>
    </row>
    <row r="44" spans="1:18">
      <c r="A44" s="114"/>
      <c r="B44" s="13"/>
      <c r="C44" s="12"/>
      <c r="K44" s="119"/>
    </row>
    <row r="45" spans="1:18">
      <c r="A45" s="114"/>
      <c r="B45" s="13"/>
      <c r="C45" s="12"/>
      <c r="K45" s="119"/>
    </row>
    <row r="46" spans="1:18">
      <c r="A46" s="150"/>
      <c r="B46" s="26"/>
      <c r="C46" s="10"/>
      <c r="D46" s="312"/>
      <c r="E46" s="10"/>
      <c r="F46" s="290"/>
      <c r="G46" s="313"/>
      <c r="H46" s="290"/>
      <c r="I46" s="313"/>
      <c r="J46" s="51"/>
      <c r="K46" s="152"/>
      <c r="M46" s="184"/>
      <c r="N46" s="12"/>
      <c r="O46" s="185"/>
      <c r="P46" s="186"/>
      <c r="Q46" s="185"/>
      <c r="R46" s="186"/>
    </row>
    <row r="47" spans="1:18">
      <c r="A47" s="44"/>
      <c r="B47" s="13"/>
      <c r="C47" s="12"/>
      <c r="D47" s="184"/>
      <c r="E47" s="12"/>
      <c r="F47" s="185"/>
      <c r="G47" s="186"/>
      <c r="H47" s="185"/>
      <c r="I47" s="186"/>
      <c r="M47" s="184"/>
      <c r="N47" s="12"/>
      <c r="O47" s="185"/>
      <c r="P47" s="186"/>
      <c r="Q47" s="185"/>
      <c r="R47" s="186"/>
    </row>
    <row r="48" spans="1:18">
      <c r="B48" s="13"/>
      <c r="C48" s="12"/>
      <c r="D48" s="184"/>
      <c r="E48" s="12"/>
      <c r="F48" s="185"/>
      <c r="G48" s="186"/>
      <c r="H48" s="185"/>
      <c r="I48" s="186"/>
      <c r="M48" s="184"/>
      <c r="N48" s="12"/>
      <c r="O48" s="185"/>
      <c r="P48" s="186"/>
      <c r="Q48" s="185"/>
      <c r="R48" s="186"/>
    </row>
    <row r="49" spans="2:18">
      <c r="B49" s="13"/>
      <c r="C49" s="12"/>
      <c r="D49" s="184"/>
      <c r="E49" s="12"/>
      <c r="F49" s="185"/>
      <c r="G49" s="186"/>
      <c r="H49" s="185"/>
      <c r="I49" s="186"/>
      <c r="M49" s="184"/>
      <c r="N49" s="12"/>
      <c r="O49" s="185"/>
      <c r="P49" s="186"/>
      <c r="Q49" s="185"/>
      <c r="R49" s="186"/>
    </row>
    <row r="50" spans="2:18" ht="15" customHeight="1">
      <c r="B50" s="13"/>
      <c r="C50" s="12"/>
      <c r="D50" s="184"/>
      <c r="E50" s="12"/>
      <c r="F50" s="185"/>
      <c r="G50" s="186"/>
      <c r="H50" s="185"/>
      <c r="I50" s="186"/>
      <c r="M50" s="184"/>
      <c r="N50" s="12"/>
      <c r="O50" s="185"/>
      <c r="P50" s="186"/>
      <c r="Q50" s="185"/>
      <c r="R50" s="186"/>
    </row>
    <row r="51" spans="2:18">
      <c r="B51" s="13"/>
      <c r="C51" s="12"/>
      <c r="D51" s="184"/>
      <c r="E51" s="12"/>
      <c r="F51" s="185"/>
      <c r="G51" s="186"/>
      <c r="H51" s="185"/>
      <c r="I51" s="186"/>
      <c r="M51" s="184"/>
      <c r="N51" s="12"/>
      <c r="O51" s="185"/>
      <c r="P51" s="186"/>
      <c r="Q51" s="185"/>
      <c r="R51" s="186"/>
    </row>
    <row r="52" spans="2:18">
      <c r="B52" s="13"/>
      <c r="C52" s="12"/>
      <c r="D52" s="184"/>
      <c r="E52" s="12"/>
      <c r="F52" s="185"/>
      <c r="G52" s="186"/>
      <c r="H52" s="185"/>
      <c r="I52" s="186"/>
      <c r="M52" s="184"/>
      <c r="N52" s="12"/>
      <c r="O52" s="185"/>
      <c r="P52" s="186"/>
      <c r="Q52" s="185"/>
      <c r="R52" s="186"/>
    </row>
    <row r="53" spans="2:18">
      <c r="B53" s="13"/>
      <c r="C53" s="12"/>
      <c r="D53" s="184"/>
      <c r="E53" s="12"/>
      <c r="F53" s="185"/>
      <c r="G53" s="186"/>
      <c r="H53" s="185"/>
      <c r="I53" s="186"/>
      <c r="M53" s="184"/>
      <c r="N53" s="12"/>
      <c r="O53" s="185"/>
      <c r="P53" s="186"/>
      <c r="Q53" s="185"/>
      <c r="R53" s="186"/>
    </row>
    <row r="54" spans="2:18">
      <c r="B54" s="13"/>
      <c r="C54" s="12"/>
      <c r="D54" s="184"/>
      <c r="E54" s="12"/>
      <c r="F54" s="185"/>
      <c r="G54" s="186"/>
      <c r="H54" s="185"/>
      <c r="I54" s="186"/>
      <c r="M54" s="184"/>
      <c r="N54" s="12"/>
      <c r="O54" s="185"/>
      <c r="P54" s="186"/>
      <c r="Q54" s="185"/>
      <c r="R54" s="186"/>
    </row>
    <row r="55" spans="2:18">
      <c r="B55" s="13"/>
      <c r="C55" s="12"/>
      <c r="D55" s="184"/>
      <c r="E55" s="12"/>
      <c r="F55" s="185"/>
      <c r="G55" s="186"/>
      <c r="H55" s="185"/>
      <c r="I55" s="186"/>
      <c r="M55" s="184"/>
      <c r="N55" s="12"/>
      <c r="O55" s="185"/>
      <c r="P55" s="186"/>
      <c r="Q55" s="185"/>
      <c r="R55" s="186"/>
    </row>
    <row r="56" spans="2:18">
      <c r="B56" s="13"/>
      <c r="C56" s="12"/>
      <c r="D56" s="184"/>
      <c r="E56" s="12"/>
      <c r="F56" s="185"/>
      <c r="G56" s="186"/>
      <c r="H56" s="185"/>
      <c r="I56" s="186"/>
      <c r="M56" s="184"/>
      <c r="N56" s="12"/>
      <c r="O56" s="185"/>
      <c r="P56" s="186"/>
      <c r="Q56" s="185"/>
      <c r="R56" s="186"/>
    </row>
    <row r="57" spans="2:18">
      <c r="B57" s="13"/>
      <c r="C57" s="12"/>
      <c r="D57" s="184"/>
      <c r="E57" s="12"/>
      <c r="F57" s="185"/>
      <c r="G57" s="186"/>
      <c r="H57" s="185"/>
      <c r="I57" s="186"/>
      <c r="M57" s="184"/>
      <c r="N57" s="12"/>
      <c r="O57" s="185"/>
      <c r="P57" s="186"/>
      <c r="Q57" s="185"/>
      <c r="R57" s="186"/>
    </row>
    <row r="58" spans="2:18">
      <c r="B58" s="13"/>
      <c r="C58" s="12"/>
      <c r="D58" s="184"/>
      <c r="E58" s="12"/>
      <c r="F58" s="185"/>
      <c r="G58" s="186"/>
      <c r="H58" s="185"/>
      <c r="I58" s="186"/>
      <c r="M58" s="184"/>
      <c r="N58" s="12"/>
      <c r="O58" s="185"/>
      <c r="P58" s="186"/>
      <c r="Q58" s="185"/>
      <c r="R58" s="186"/>
    </row>
    <row r="59" spans="2:18">
      <c r="B59" s="13"/>
      <c r="C59" s="12"/>
      <c r="D59" s="184"/>
      <c r="E59" s="12"/>
      <c r="F59" s="185"/>
      <c r="G59" s="186"/>
      <c r="H59" s="185"/>
      <c r="I59" s="186"/>
      <c r="M59" s="184"/>
      <c r="N59" s="12"/>
      <c r="O59" s="185"/>
      <c r="P59" s="186"/>
      <c r="Q59" s="185"/>
      <c r="R59" s="186"/>
    </row>
    <row r="60" spans="2:18">
      <c r="B60" s="13"/>
      <c r="C60" s="12"/>
      <c r="D60" s="184"/>
      <c r="E60" s="12"/>
      <c r="F60" s="185"/>
      <c r="G60" s="186"/>
      <c r="H60" s="185"/>
      <c r="I60" s="186"/>
      <c r="M60" s="184"/>
      <c r="N60" s="12"/>
      <c r="O60" s="185"/>
      <c r="P60" s="186"/>
      <c r="Q60" s="185"/>
      <c r="R60" s="186"/>
    </row>
    <row r="61" spans="2:18">
      <c r="B61" s="13"/>
      <c r="C61" s="12"/>
      <c r="D61" s="184"/>
      <c r="E61" s="12"/>
      <c r="F61" s="185"/>
      <c r="G61" s="186"/>
      <c r="H61" s="185"/>
      <c r="I61" s="186"/>
      <c r="M61" s="184"/>
      <c r="N61" s="12"/>
      <c r="O61" s="185"/>
      <c r="P61" s="186"/>
      <c r="Q61" s="185"/>
      <c r="R61" s="186"/>
    </row>
    <row r="62" spans="2:18">
      <c r="B62" s="13"/>
      <c r="C62" s="12"/>
      <c r="D62" s="184"/>
      <c r="E62" s="12"/>
      <c r="F62" s="185"/>
      <c r="G62" s="186"/>
      <c r="H62" s="185"/>
      <c r="I62" s="186"/>
      <c r="M62" s="184"/>
      <c r="N62" s="12"/>
      <c r="O62" s="185"/>
      <c r="P62" s="186"/>
      <c r="Q62" s="185"/>
      <c r="R62" s="186"/>
    </row>
    <row r="63" spans="2:18">
      <c r="B63" s="13"/>
      <c r="C63" s="12"/>
      <c r="D63" s="184"/>
      <c r="E63" s="12"/>
      <c r="F63" s="185"/>
      <c r="G63" s="186"/>
      <c r="H63" s="185"/>
      <c r="I63" s="186"/>
      <c r="M63" s="184"/>
      <c r="N63" s="12"/>
      <c r="O63" s="185"/>
      <c r="P63" s="186"/>
      <c r="Q63" s="185"/>
      <c r="R63" s="186"/>
    </row>
    <row r="64" spans="2:18">
      <c r="B64" s="13"/>
      <c r="C64" s="12"/>
      <c r="D64" s="184"/>
      <c r="E64" s="12"/>
      <c r="F64" s="185"/>
      <c r="G64" s="186"/>
      <c r="H64" s="185"/>
      <c r="I64" s="186"/>
      <c r="M64" s="184"/>
      <c r="N64" s="12"/>
      <c r="O64" s="185"/>
      <c r="P64" s="186"/>
      <c r="Q64" s="185"/>
      <c r="R64" s="186"/>
    </row>
    <row r="65" spans="2:18">
      <c r="B65" s="13"/>
      <c r="C65" s="12"/>
      <c r="D65" s="184"/>
      <c r="E65" s="12"/>
      <c r="F65" s="185"/>
      <c r="G65" s="186"/>
      <c r="H65" s="185"/>
      <c r="I65" s="186"/>
      <c r="M65" s="184"/>
      <c r="N65" s="12"/>
      <c r="O65" s="185"/>
      <c r="P65" s="186"/>
      <c r="Q65" s="185"/>
      <c r="R65" s="186"/>
    </row>
    <row r="66" spans="2:18">
      <c r="B66" s="13"/>
      <c r="C66" s="12"/>
      <c r="D66" s="184"/>
      <c r="E66" s="12"/>
      <c r="F66" s="185"/>
      <c r="G66" s="186"/>
      <c r="H66" s="185"/>
      <c r="I66" s="186"/>
      <c r="M66" s="184"/>
      <c r="N66" s="12"/>
      <c r="O66" s="185"/>
      <c r="P66" s="186"/>
      <c r="Q66" s="185"/>
      <c r="R66" s="186"/>
    </row>
    <row r="67" spans="2:18">
      <c r="B67" s="13"/>
      <c r="C67" s="12"/>
      <c r="D67" s="184"/>
      <c r="E67" s="12"/>
      <c r="F67" s="185"/>
      <c r="G67" s="186"/>
      <c r="H67" s="185"/>
      <c r="I67" s="186"/>
      <c r="M67" s="184"/>
      <c r="N67" s="12"/>
      <c r="O67" s="185"/>
      <c r="P67" s="186"/>
      <c r="Q67" s="185"/>
      <c r="R67" s="186"/>
    </row>
    <row r="68" spans="2:18">
      <c r="B68" s="13"/>
      <c r="C68" s="12"/>
      <c r="D68" s="184"/>
      <c r="E68" s="12"/>
      <c r="F68" s="185"/>
      <c r="G68" s="186"/>
      <c r="H68" s="185"/>
      <c r="I68" s="186"/>
      <c r="M68" s="184"/>
      <c r="N68" s="12"/>
      <c r="O68" s="185"/>
      <c r="P68" s="186"/>
      <c r="Q68" s="185"/>
      <c r="R68" s="186"/>
    </row>
    <row r="69" spans="2:18">
      <c r="B69" s="13"/>
      <c r="C69" s="12"/>
      <c r="D69" s="184"/>
      <c r="E69" s="12"/>
      <c r="F69" s="185"/>
      <c r="G69" s="186"/>
      <c r="H69" s="185"/>
      <c r="I69" s="186"/>
      <c r="M69" s="184"/>
      <c r="N69" s="12"/>
      <c r="O69" s="185"/>
      <c r="P69" s="186"/>
      <c r="Q69" s="185"/>
      <c r="R69" s="186"/>
    </row>
    <row r="70" spans="2:18">
      <c r="B70" s="13"/>
      <c r="C70" s="12"/>
      <c r="D70" s="184"/>
      <c r="E70" s="12"/>
      <c r="F70" s="185"/>
      <c r="G70" s="186"/>
      <c r="H70" s="185"/>
      <c r="I70" s="186"/>
      <c r="M70" s="184"/>
      <c r="N70" s="12"/>
      <c r="O70" s="185"/>
      <c r="P70" s="186"/>
      <c r="Q70" s="185"/>
      <c r="R70" s="186"/>
    </row>
    <row r="71" spans="2:18">
      <c r="B71" s="13"/>
      <c r="C71" s="12"/>
      <c r="D71" s="184"/>
      <c r="E71" s="12"/>
      <c r="F71" s="185"/>
      <c r="G71" s="186"/>
      <c r="H71" s="185"/>
      <c r="I71" s="186"/>
      <c r="M71" s="184"/>
      <c r="N71" s="12"/>
      <c r="O71" s="185"/>
      <c r="P71" s="186"/>
      <c r="Q71" s="185"/>
      <c r="R71" s="186"/>
    </row>
    <row r="72" spans="2:18">
      <c r="B72" s="13"/>
      <c r="C72" s="12"/>
      <c r="D72" s="184"/>
      <c r="E72" s="12"/>
      <c r="F72" s="185"/>
      <c r="G72" s="186"/>
      <c r="H72" s="185"/>
      <c r="I72" s="186"/>
      <c r="M72" s="184"/>
      <c r="N72" s="12"/>
      <c r="O72" s="185"/>
      <c r="P72" s="186"/>
      <c r="Q72" s="185"/>
      <c r="R72" s="186"/>
    </row>
    <row r="73" spans="2:18">
      <c r="B73" s="13"/>
      <c r="C73" s="12"/>
      <c r="D73" s="184"/>
      <c r="E73" s="12"/>
      <c r="F73" s="185"/>
      <c r="G73" s="186"/>
      <c r="H73" s="185"/>
      <c r="I73" s="186"/>
      <c r="M73" s="184"/>
      <c r="N73" s="12"/>
      <c r="O73" s="185"/>
      <c r="P73" s="186"/>
      <c r="Q73" s="185"/>
      <c r="R73" s="186"/>
    </row>
    <row r="74" spans="2:18">
      <c r="B74" s="13"/>
      <c r="C74" s="12"/>
      <c r="D74" s="184"/>
      <c r="E74" s="12"/>
      <c r="F74" s="185"/>
      <c r="G74" s="186"/>
      <c r="H74" s="185"/>
      <c r="I74" s="186"/>
      <c r="M74" s="184"/>
      <c r="N74" s="12"/>
      <c r="O74" s="185"/>
      <c r="P74" s="186"/>
      <c r="Q74" s="185"/>
      <c r="R74" s="186"/>
    </row>
    <row r="75" spans="2:18">
      <c r="B75" s="13"/>
      <c r="C75" s="12"/>
      <c r="D75" s="184"/>
      <c r="E75" s="12"/>
      <c r="F75" s="185"/>
      <c r="G75" s="186"/>
      <c r="H75" s="185"/>
      <c r="I75" s="186"/>
      <c r="M75" s="184"/>
      <c r="N75" s="12"/>
      <c r="O75" s="185"/>
      <c r="P75" s="186"/>
      <c r="Q75" s="185"/>
      <c r="R75" s="186"/>
    </row>
    <row r="76" spans="2:18">
      <c r="B76" s="13"/>
      <c r="C76" s="12"/>
      <c r="D76" s="184"/>
      <c r="E76" s="12"/>
      <c r="F76" s="185"/>
      <c r="G76" s="186"/>
      <c r="H76" s="185"/>
      <c r="I76" s="186"/>
      <c r="M76" s="184"/>
      <c r="N76" s="12"/>
      <c r="O76" s="185"/>
      <c r="P76" s="186"/>
      <c r="Q76" s="185"/>
      <c r="R76" s="186"/>
    </row>
    <row r="77" spans="2:18">
      <c r="B77" s="13"/>
      <c r="C77" s="12"/>
      <c r="D77" s="184"/>
      <c r="E77" s="12"/>
      <c r="F77" s="185"/>
      <c r="G77" s="186"/>
      <c r="H77" s="185"/>
      <c r="I77" s="186"/>
      <c r="M77" s="184"/>
      <c r="N77" s="12"/>
      <c r="O77" s="185"/>
      <c r="P77" s="186"/>
      <c r="Q77" s="185"/>
      <c r="R77" s="186"/>
    </row>
    <row r="78" spans="2:18">
      <c r="B78" s="13"/>
      <c r="C78" s="12"/>
      <c r="D78" s="184"/>
      <c r="E78" s="12"/>
      <c r="F78" s="185"/>
      <c r="G78" s="186"/>
      <c r="H78" s="185"/>
      <c r="I78" s="186"/>
      <c r="M78" s="184"/>
      <c r="N78" s="12"/>
      <c r="O78" s="185"/>
      <c r="P78" s="186"/>
      <c r="Q78" s="185"/>
      <c r="R78" s="186"/>
    </row>
    <row r="79" spans="2:18">
      <c r="B79" s="13"/>
      <c r="C79" s="12"/>
      <c r="D79" s="184"/>
      <c r="E79" s="12"/>
      <c r="F79" s="185"/>
      <c r="G79" s="186"/>
      <c r="H79" s="185"/>
      <c r="I79" s="186"/>
      <c r="M79" s="184"/>
      <c r="N79" s="12"/>
      <c r="O79" s="185"/>
      <c r="P79" s="186"/>
      <c r="Q79" s="185"/>
      <c r="R79" s="186"/>
    </row>
    <row r="80" spans="2:18">
      <c r="B80" s="13"/>
      <c r="C80" s="12"/>
      <c r="D80" s="187"/>
      <c r="E80" s="188"/>
      <c r="F80" s="219"/>
      <c r="G80" s="190"/>
      <c r="H80" s="219"/>
      <c r="I80" s="190"/>
      <c r="M80" s="187"/>
      <c r="N80" s="188"/>
      <c r="O80" s="219"/>
      <c r="P80" s="190"/>
      <c r="Q80" s="219"/>
      <c r="R80" s="190"/>
    </row>
    <row r="81" spans="2:18">
      <c r="B81" s="13"/>
      <c r="C81" s="12"/>
      <c r="D81" s="187"/>
      <c r="E81" s="187"/>
      <c r="F81" s="187"/>
      <c r="G81" s="187"/>
      <c r="H81" s="187"/>
      <c r="I81" s="187"/>
      <c r="M81" s="187"/>
      <c r="N81" s="187"/>
      <c r="O81" s="187"/>
      <c r="P81" s="187"/>
      <c r="Q81" s="187"/>
      <c r="R81" s="187"/>
    </row>
    <row r="82" spans="2:18">
      <c r="B82" s="13"/>
      <c r="C82" s="12"/>
      <c r="D82" s="187"/>
      <c r="E82" s="187"/>
      <c r="F82" s="187"/>
      <c r="G82" s="187"/>
      <c r="H82" s="187"/>
      <c r="I82" s="187"/>
      <c r="M82" s="187"/>
      <c r="N82" s="187"/>
      <c r="O82" s="187"/>
      <c r="P82" s="187"/>
      <c r="Q82" s="187"/>
      <c r="R82" s="187"/>
    </row>
    <row r="83" spans="2:18">
      <c r="B83" s="13"/>
      <c r="C83" s="12"/>
      <c r="D83" s="191"/>
      <c r="E83" s="220"/>
      <c r="F83" s="187"/>
      <c r="G83" s="187"/>
      <c r="H83" s="187"/>
      <c r="I83" s="187"/>
      <c r="M83" s="191"/>
      <c r="N83" s="220"/>
      <c r="O83" s="187"/>
      <c r="P83" s="187"/>
      <c r="Q83" s="187"/>
      <c r="R83" s="187"/>
    </row>
    <row r="84" spans="2:18">
      <c r="B84" s="13"/>
      <c r="C84" s="12"/>
      <c r="D84" s="188"/>
      <c r="E84" s="220"/>
      <c r="F84" s="187"/>
      <c r="G84" s="187"/>
      <c r="H84" s="187"/>
      <c r="I84" s="187"/>
      <c r="M84" s="188"/>
      <c r="N84" s="220"/>
      <c r="O84" s="187"/>
      <c r="P84" s="187"/>
      <c r="Q84" s="187"/>
      <c r="R84" s="187"/>
    </row>
    <row r="85" spans="2:18">
      <c r="B85" s="13"/>
      <c r="C85" s="12"/>
      <c r="D85" s="187"/>
      <c r="E85" s="220"/>
      <c r="F85" s="187"/>
      <c r="G85" s="187"/>
      <c r="H85" s="187"/>
      <c r="I85" s="187"/>
      <c r="M85" s="187"/>
      <c r="N85" s="220"/>
      <c r="O85" s="187"/>
      <c r="P85" s="187"/>
      <c r="Q85" s="187"/>
      <c r="R85" s="187"/>
    </row>
    <row r="86" spans="2:18" ht="14">
      <c r="B86" s="187"/>
      <c r="C86" s="188"/>
      <c r="D86" s="193"/>
      <c r="E86" s="193"/>
      <c r="F86" s="193"/>
      <c r="G86" s="193"/>
      <c r="H86" s="193"/>
      <c r="I86" s="193"/>
      <c r="M86" s="193"/>
      <c r="N86" s="193"/>
      <c r="O86" s="193"/>
      <c r="P86" s="193"/>
      <c r="Q86" s="193"/>
      <c r="R86" s="193"/>
    </row>
    <row r="87" spans="2:18" ht="14">
      <c r="D87" s="193"/>
      <c r="E87" s="193"/>
      <c r="F87" s="193"/>
      <c r="G87" s="193"/>
      <c r="H87" s="193"/>
      <c r="I87" s="193"/>
      <c r="M87" s="193"/>
      <c r="N87" s="193"/>
      <c r="O87" s="193"/>
      <c r="P87" s="193"/>
      <c r="Q87" s="193"/>
      <c r="R87" s="193"/>
    </row>
    <row r="88" spans="2:18" ht="14">
      <c r="D88" s="194"/>
      <c r="E88" s="221"/>
      <c r="F88" s="193"/>
      <c r="G88" s="193"/>
      <c r="H88" s="193"/>
      <c r="I88" s="193"/>
      <c r="M88" s="194"/>
      <c r="N88" s="221"/>
      <c r="O88" s="193"/>
      <c r="P88" s="193"/>
      <c r="Q88" s="193"/>
      <c r="R88" s="193"/>
    </row>
    <row r="89" spans="2:18" ht="14">
      <c r="B89" s="191"/>
      <c r="C89" s="220"/>
      <c r="D89" s="196"/>
      <c r="E89" s="221"/>
      <c r="F89" s="193"/>
      <c r="G89" s="193"/>
      <c r="H89" s="193"/>
      <c r="I89" s="193"/>
      <c r="M89" s="196"/>
      <c r="N89" s="221"/>
      <c r="O89" s="193"/>
      <c r="P89" s="193"/>
      <c r="Q89" s="193"/>
      <c r="R89" s="193"/>
    </row>
    <row r="90" spans="2:18" ht="14">
      <c r="B90" s="197"/>
      <c r="C90" s="220"/>
      <c r="D90" s="193"/>
      <c r="E90" s="221"/>
      <c r="F90" s="193"/>
      <c r="G90" s="193"/>
      <c r="H90" s="193"/>
      <c r="I90" s="193"/>
      <c r="M90" s="193"/>
      <c r="N90" s="221"/>
      <c r="O90" s="193"/>
      <c r="P90" s="193"/>
      <c r="Q90" s="193"/>
      <c r="R90" s="193"/>
    </row>
    <row r="91" spans="2:18">
      <c r="C91" s="220"/>
    </row>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50.81640625" style="18" customWidth="1"/>
    <col min="3" max="3" width="14.81640625" style="18" customWidth="1"/>
    <col min="4" max="4" width="19" style="18" customWidth="1"/>
    <col min="5" max="5" width="4.81640625" style="18" customWidth="1"/>
    <col min="6" max="6" width="23.1796875" style="18" customWidth="1"/>
    <col min="7" max="7" width="4.81640625" style="18" customWidth="1"/>
    <col min="8" max="8" width="18.81640625" style="18" customWidth="1"/>
    <col min="9" max="9" width="4.81640625" style="18" customWidth="1"/>
    <col min="10" max="10" width="25.81640625" style="18" customWidth="1"/>
    <col min="11" max="11" width="1.1796875" style="18" customWidth="1"/>
    <col min="12" max="12" width="11.54296875" style="18" bestFit="1"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757"/>
      <c r="D2" s="115" t="s">
        <v>384</v>
      </c>
      <c r="E2" s="116"/>
      <c r="F2" s="117">
        <f>'Cover Sheet'!F2</f>
        <v>45911</v>
      </c>
      <c r="G2" s="116"/>
      <c r="H2" s="116"/>
      <c r="I2" s="116"/>
      <c r="J2" s="118"/>
      <c r="K2" s="119"/>
      <c r="L2" s="142"/>
    </row>
    <row r="3" spans="1:13" ht="18">
      <c r="A3" s="114"/>
      <c r="B3" s="42" t="str">
        <f>'Cover Sheet'!B3</f>
        <v>Monthly Investor Report</v>
      </c>
      <c r="C3" s="757"/>
      <c r="D3" s="121" t="s">
        <v>2</v>
      </c>
      <c r="E3" s="122"/>
      <c r="F3" s="123">
        <f>'Cover Sheet'!F3</f>
        <v>45915</v>
      </c>
      <c r="G3" s="122"/>
      <c r="H3" s="122"/>
      <c r="I3" s="122"/>
      <c r="J3" s="124"/>
      <c r="K3" s="119"/>
      <c r="L3" s="143"/>
    </row>
    <row r="4" spans="1:13" ht="13">
      <c r="A4" s="114"/>
      <c r="B4" s="99"/>
      <c r="C4" s="125"/>
      <c r="D4" s="121" t="s">
        <v>3</v>
      </c>
      <c r="E4" s="122"/>
      <c r="F4" s="126">
        <f>'Cover Sheet'!F4</f>
        <v>16</v>
      </c>
      <c r="G4" s="122"/>
      <c r="H4" s="765">
        <f>F4-1</f>
        <v>15</v>
      </c>
      <c r="I4" s="122"/>
      <c r="J4" s="128"/>
      <c r="K4" s="119"/>
      <c r="L4" s="142"/>
    </row>
    <row r="5" spans="1:13" ht="18">
      <c r="A5" s="114"/>
      <c r="B5" s="129" t="s">
        <v>32</v>
      </c>
      <c r="C5" s="131"/>
      <c r="D5" s="121" t="s">
        <v>1</v>
      </c>
      <c r="E5" s="122"/>
      <c r="F5" s="130">
        <f>'Cover Sheet'!F5</f>
        <v>45915</v>
      </c>
      <c r="G5" s="122"/>
      <c r="H5" s="127"/>
      <c r="I5" s="122"/>
      <c r="J5" s="128"/>
      <c r="K5" s="119"/>
      <c r="L5" s="143"/>
    </row>
    <row r="6" spans="1:13" ht="15" customHeight="1">
      <c r="A6" s="114"/>
      <c r="B6" s="131"/>
      <c r="C6" s="120"/>
      <c r="D6" s="121" t="s">
        <v>51</v>
      </c>
      <c r="E6" s="132" t="s">
        <v>34</v>
      </c>
      <c r="F6" s="123">
        <f>'Cover Sheet'!F6</f>
        <v>45883</v>
      </c>
      <c r="G6" s="132" t="str">
        <f>'Cover Sheet'!G6</f>
        <v>to</v>
      </c>
      <c r="H6" s="123">
        <f>'Cover Sheet'!H6</f>
        <v>45915</v>
      </c>
      <c r="I6" s="132" t="str">
        <f>'Cover Sheet'!I6</f>
        <v>=</v>
      </c>
      <c r="J6" s="133" t="str">
        <f>'Cover Sheet'!J6</f>
        <v>32 days</v>
      </c>
      <c r="K6" s="134"/>
      <c r="M6" s="135"/>
    </row>
    <row r="7" spans="1:13" ht="13">
      <c r="A7" s="114"/>
      <c r="B7" s="758"/>
      <c r="C7" s="758"/>
      <c r="D7" s="136" t="s">
        <v>111</v>
      </c>
      <c r="E7" s="137" t="s">
        <v>34</v>
      </c>
      <c r="F7" s="138" t="str">
        <f>'Cover Sheet'!F7</f>
        <v>01.08.2025</v>
      </c>
      <c r="G7" s="137" t="str">
        <f>'Cover Sheet'!G7</f>
        <v>to</v>
      </c>
      <c r="H7" s="138">
        <f>'Cover Sheet'!H7</f>
        <v>45900</v>
      </c>
      <c r="I7" s="322"/>
      <c r="J7" s="162"/>
      <c r="K7" s="119"/>
    </row>
    <row r="8" spans="1:13" ht="13">
      <c r="A8" s="114"/>
      <c r="D8" s="99"/>
      <c r="F8" s="141"/>
      <c r="G8" s="81"/>
      <c r="H8" s="142"/>
      <c r="K8" s="119"/>
    </row>
    <row r="9" spans="1:13" ht="13">
      <c r="A9" s="114"/>
      <c r="D9" s="99"/>
      <c r="F9" s="141"/>
      <c r="G9" s="81"/>
      <c r="H9" s="142"/>
      <c r="K9" s="119"/>
    </row>
    <row r="10" spans="1:13" ht="13">
      <c r="A10" s="114"/>
      <c r="D10" s="99"/>
      <c r="F10" s="141"/>
      <c r="G10" s="81"/>
      <c r="H10" s="142"/>
      <c r="K10" s="119"/>
    </row>
    <row r="11" spans="1:13" ht="18" customHeight="1">
      <c r="A11" s="114"/>
      <c r="D11" s="99"/>
      <c r="F11" s="141" t="s">
        <v>97</v>
      </c>
      <c r="G11" s="81"/>
      <c r="H11" s="142"/>
      <c r="J11" s="81" t="s">
        <v>98</v>
      </c>
      <c r="K11" s="119"/>
    </row>
    <row r="12" spans="1:13">
      <c r="A12" s="114"/>
      <c r="K12" s="119"/>
    </row>
    <row r="13" spans="1:13" ht="26">
      <c r="A13" s="114"/>
      <c r="B13" s="42" t="s">
        <v>53</v>
      </c>
      <c r="C13" s="759" t="s">
        <v>105</v>
      </c>
      <c r="E13" s="144"/>
      <c r="F13" s="759" t="s">
        <v>99</v>
      </c>
      <c r="J13" s="759" t="s">
        <v>99</v>
      </c>
      <c r="K13" s="119"/>
      <c r="L13" s="760"/>
    </row>
    <row r="14" spans="1:13" ht="18">
      <c r="A14" s="114"/>
      <c r="B14" s="42"/>
      <c r="C14" s="759"/>
      <c r="E14" s="144"/>
      <c r="F14" s="99"/>
      <c r="J14" s="761"/>
      <c r="K14" s="119"/>
    </row>
    <row r="15" spans="1:13" ht="13">
      <c r="A15" s="114"/>
      <c r="B15" s="32" t="s">
        <v>13</v>
      </c>
      <c r="C15" s="825">
        <f>VLOOKUP("Nbr_loans_bop",Assets_Daten,3,0)</f>
        <v>70226</v>
      </c>
      <c r="D15" s="32"/>
      <c r="E15" s="32"/>
      <c r="F15" s="795">
        <f>VLOOKUP("Outstanding_bop_current",calcdata,2,0)</f>
        <v>1168522209.0599999</v>
      </c>
      <c r="G15" s="762"/>
      <c r="H15" s="762"/>
      <c r="I15" s="762"/>
      <c r="J15" s="795">
        <f>VLOOKUP("Outstanding_bop_previous",calcdata,2,0)</f>
        <v>1209511439</v>
      </c>
      <c r="K15" s="119"/>
    </row>
    <row r="16" spans="1:13" ht="13">
      <c r="A16" s="114"/>
      <c r="F16" s="47"/>
      <c r="G16" s="50"/>
      <c r="H16" s="50"/>
      <c r="I16" s="50"/>
      <c r="J16" s="753"/>
      <c r="K16" s="119"/>
    </row>
    <row r="17" spans="1:11">
      <c r="A17" s="114"/>
      <c r="B17" s="18" t="s">
        <v>37</v>
      </c>
      <c r="C17" s="506"/>
      <c r="F17" s="755">
        <f>F20-F18</f>
        <v>17116624.990000017</v>
      </c>
      <c r="G17" s="50"/>
      <c r="H17" s="50"/>
      <c r="I17" s="50"/>
      <c r="J17" s="285">
        <f>J20-J18</f>
        <v>17852980.830000017</v>
      </c>
      <c r="K17" s="119"/>
    </row>
    <row r="18" spans="1:11">
      <c r="A18" s="114"/>
      <c r="B18" s="18" t="s">
        <v>38</v>
      </c>
      <c r="F18" s="285">
        <f>VLOOKUP(F4,'1.1 Portfolio Information p.p.'!B:E,4,FALSE)</f>
        <v>16015763.019999987</v>
      </c>
      <c r="G18" s="50"/>
      <c r="H18" s="50"/>
      <c r="I18" s="50"/>
      <c r="J18" s="285">
        <f>VLOOKUP(H4,'1.1 Portfolio Information p.p.'!B:E,4,FALSE)</f>
        <v>19040154.39999998</v>
      </c>
      <c r="K18" s="119"/>
    </row>
    <row r="19" spans="1:11" ht="13">
      <c r="A19" s="114"/>
      <c r="F19" s="755"/>
      <c r="G19" s="50"/>
      <c r="H19" s="50"/>
      <c r="I19" s="50"/>
      <c r="J19" s="753"/>
      <c r="K19" s="119"/>
    </row>
    <row r="20" spans="1:11" ht="13">
      <c r="A20" s="114"/>
      <c r="B20" s="32" t="s">
        <v>39</v>
      </c>
      <c r="C20" s="506"/>
      <c r="F20" s="795">
        <f>VLOOKUP("Total_Principal_Collections_current",calcdata,2,0)</f>
        <v>33132388.010000002</v>
      </c>
      <c r="G20" s="50"/>
      <c r="H20" s="50"/>
      <c r="I20" s="50"/>
      <c r="J20" s="795">
        <f>VLOOKUP("Total_Principal_Collections_previous",calcdata,2,0)</f>
        <v>36893135.229999997</v>
      </c>
      <c r="K20" s="119"/>
    </row>
    <row r="21" spans="1:11" ht="13">
      <c r="A21" s="114"/>
      <c r="F21" s="753"/>
      <c r="G21" s="50"/>
      <c r="H21" s="50"/>
      <c r="I21" s="50"/>
      <c r="J21" s="795"/>
      <c r="K21" s="119"/>
    </row>
    <row r="22" spans="1:11" ht="13">
      <c r="A22" s="114"/>
      <c r="B22" s="32" t="s">
        <v>40</v>
      </c>
      <c r="C22" s="768"/>
      <c r="F22" s="795">
        <f>VLOOKUP("Collected_Interest_Portion_current",calcdata,2,0)</f>
        <v>7929570.4199999999</v>
      </c>
      <c r="G22" s="50"/>
      <c r="H22" s="50"/>
      <c r="I22" s="50"/>
      <c r="J22" s="795">
        <f>VLOOKUP("Collected_Interest_Portion_previous",calcdata,2,0)</f>
        <v>8198701.0199999996</v>
      </c>
      <c r="K22" s="119"/>
    </row>
    <row r="23" spans="1:11" ht="13">
      <c r="A23" s="114"/>
      <c r="B23" s="32"/>
      <c r="C23" s="768"/>
      <c r="F23" s="767"/>
      <c r="G23" s="50"/>
      <c r="H23" s="50"/>
      <c r="I23" s="50"/>
      <c r="J23" s="795"/>
      <c r="K23" s="119"/>
    </row>
    <row r="24" spans="1:11" ht="13">
      <c r="A24" s="114"/>
      <c r="B24" s="32" t="s">
        <v>41</v>
      </c>
      <c r="C24" s="506"/>
      <c r="F24" s="794">
        <f>VLOOKUP("Defaults_current",calcdata,2,0)</f>
        <v>3646087.28</v>
      </c>
      <c r="G24" s="50"/>
      <c r="H24" s="50"/>
      <c r="I24" s="50"/>
      <c r="J24" s="795">
        <f>VLOOKUP("Defaults_previous",calcdata,2,0)</f>
        <v>4096094.71</v>
      </c>
      <c r="K24" s="119"/>
    </row>
    <row r="25" spans="1:11" ht="13">
      <c r="A25" s="114"/>
      <c r="B25" s="32"/>
      <c r="C25" s="506"/>
      <c r="F25" s="767"/>
      <c r="G25" s="50"/>
      <c r="H25" s="50"/>
      <c r="I25" s="50"/>
      <c r="J25" s="795"/>
      <c r="K25" s="119"/>
    </row>
    <row r="26" spans="1:11" ht="13">
      <c r="A26" s="114"/>
      <c r="B26" s="32" t="s">
        <v>136</v>
      </c>
      <c r="C26" s="506"/>
      <c r="F26" s="795">
        <f>VLOOKUP("replenishment_current",calcdata,2,0)</f>
        <v>0</v>
      </c>
      <c r="G26" s="50"/>
      <c r="H26" s="50"/>
      <c r="I26" s="50"/>
      <c r="J26" s="795">
        <f>VLOOKUP("replenishment_previous",calcdata,2,0)</f>
        <v>0</v>
      </c>
      <c r="K26" s="119"/>
    </row>
    <row r="27" spans="1:11" ht="13">
      <c r="A27" s="114"/>
      <c r="B27" s="149"/>
      <c r="F27" s="767"/>
      <c r="G27" s="50"/>
      <c r="H27" s="50"/>
      <c r="I27" s="50"/>
      <c r="J27" s="795"/>
      <c r="K27" s="119"/>
    </row>
    <row r="28" spans="1:11" s="32" customFormat="1" ht="13">
      <c r="A28" s="764"/>
      <c r="B28" s="32" t="s">
        <v>14</v>
      </c>
      <c r="C28" s="766"/>
      <c r="F28" s="795">
        <f>VLOOKUP("Outstanding_eop_current",calcdata,2,0)</f>
        <v>1131743733.77</v>
      </c>
      <c r="G28" s="762"/>
      <c r="H28" s="762"/>
      <c r="I28" s="762"/>
      <c r="J28" s="795">
        <f>VLOOKUP("Outstanding_eop_previous",calcdata,2,0)</f>
        <v>1168522209.0599999</v>
      </c>
      <c r="K28" s="164"/>
    </row>
    <row r="29" spans="1:11" s="32" customFormat="1" ht="13">
      <c r="A29" s="764"/>
      <c r="F29" s="767"/>
      <c r="G29" s="762"/>
      <c r="H29" s="762"/>
      <c r="I29" s="762"/>
      <c r="J29" s="795"/>
      <c r="K29" s="164"/>
    </row>
    <row r="30" spans="1:11" s="32" customFormat="1" ht="13">
      <c r="A30" s="764"/>
      <c r="B30" s="32" t="s">
        <v>137</v>
      </c>
      <c r="F30" s="795">
        <f>VLOOKUP("Purchase_Shortfall_current",calcdata,2,0)</f>
        <v>28.93</v>
      </c>
      <c r="G30" s="762"/>
      <c r="H30" s="762"/>
      <c r="I30" s="762"/>
      <c r="J30" s="795">
        <f>VLOOKUP("Purchase_Shortfall_previous",calcdata,2,0)</f>
        <v>34.74</v>
      </c>
      <c r="K30" s="164"/>
    </row>
    <row r="31" spans="1:11" ht="13">
      <c r="A31" s="114"/>
      <c r="F31" s="753"/>
      <c r="G31" s="50"/>
      <c r="H31" s="50"/>
      <c r="I31" s="50"/>
      <c r="J31" s="795"/>
      <c r="K31" s="119"/>
    </row>
    <row r="32" spans="1:11" s="32" customFormat="1" ht="13">
      <c r="A32" s="764"/>
      <c r="B32" s="32" t="s">
        <v>138</v>
      </c>
      <c r="C32" s="825">
        <f>'7. Current Principal Balance'!G55</f>
        <v>68547</v>
      </c>
      <c r="F32" s="795">
        <f>VLOOKUP("total_assets_current",calcdata,2,0)</f>
        <v>1131743762.7</v>
      </c>
      <c r="G32" s="762"/>
      <c r="H32" s="762"/>
      <c r="I32" s="762"/>
      <c r="J32" s="795">
        <f>VLOOKUP("total_assets_previous",calcdata,2,0)</f>
        <v>1168522243.8</v>
      </c>
      <c r="K32" s="164"/>
    </row>
    <row r="33" spans="1:11">
      <c r="A33" s="114"/>
      <c r="F33" s="99"/>
      <c r="J33" s="99"/>
      <c r="K33" s="119"/>
    </row>
    <row r="34" spans="1:11" ht="13">
      <c r="A34" s="114"/>
      <c r="B34" s="32" t="s">
        <v>9</v>
      </c>
      <c r="F34" s="754">
        <f>IF(F15=0,0,1-(1-(F18/F15))^12)</f>
        <v>0.1526229363048528</v>
      </c>
      <c r="J34" s="99"/>
      <c r="K34" s="119"/>
    </row>
    <row r="35" spans="1:11">
      <c r="A35" s="114"/>
      <c r="F35" s="99"/>
      <c r="J35" s="99"/>
      <c r="K35" s="119"/>
    </row>
    <row r="36" spans="1:11" ht="13">
      <c r="A36" s="114"/>
      <c r="B36" s="32" t="s">
        <v>285</v>
      </c>
      <c r="F36" s="754">
        <f>'5. Outstanding Notes'!C35</f>
        <v>0.74649584179999984</v>
      </c>
      <c r="J36" s="99"/>
      <c r="K36" s="119"/>
    </row>
    <row r="37" spans="1:11">
      <c r="A37" s="114"/>
      <c r="F37" s="99"/>
      <c r="J37" s="99"/>
      <c r="K37" s="119"/>
    </row>
    <row r="38" spans="1:11">
      <c r="A38" s="114"/>
      <c r="F38" s="99"/>
      <c r="J38" s="99"/>
      <c r="K38" s="119"/>
    </row>
    <row r="39" spans="1:11">
      <c r="A39" s="114"/>
      <c r="F39" s="99"/>
      <c r="J39" s="99"/>
      <c r="K39" s="119"/>
    </row>
    <row r="40" spans="1:11">
      <c r="A40" s="114"/>
      <c r="F40" s="99"/>
      <c r="J40" s="99"/>
      <c r="K40" s="119"/>
    </row>
    <row r="41" spans="1:11">
      <c r="A41" s="114"/>
      <c r="F41" s="99"/>
      <c r="J41" s="99"/>
      <c r="K41" s="119"/>
    </row>
    <row r="42" spans="1:11">
      <c r="A42" s="114"/>
      <c r="F42" s="99"/>
      <c r="J42" s="99"/>
      <c r="K42" s="119"/>
    </row>
    <row r="43" spans="1:11">
      <c r="A43" s="114"/>
      <c r="F43" s="99"/>
      <c r="J43" s="99"/>
      <c r="K43" s="119"/>
    </row>
    <row r="44" spans="1:11">
      <c r="A44" s="114"/>
      <c r="J44" s="99"/>
      <c r="K44" s="119"/>
    </row>
    <row r="45" spans="1:11">
      <c r="A45" s="114"/>
      <c r="J45" s="99"/>
      <c r="K45" s="119"/>
    </row>
    <row r="46" spans="1:11">
      <c r="A46" s="114"/>
      <c r="J46" s="99"/>
      <c r="K46" s="119"/>
    </row>
    <row r="47" spans="1:11">
      <c r="A47" s="114"/>
      <c r="J47" s="99"/>
      <c r="K47" s="119"/>
    </row>
    <row r="48" spans="1:11">
      <c r="A48" s="114"/>
      <c r="J48" s="99"/>
      <c r="K48" s="119"/>
    </row>
    <row r="49" spans="1:11">
      <c r="A49" s="114"/>
      <c r="J49" s="99"/>
      <c r="K49" s="119"/>
    </row>
    <row r="50" spans="1:11">
      <c r="A50" s="114"/>
      <c r="J50" s="99"/>
      <c r="K50" s="119"/>
    </row>
    <row r="51" spans="1:11" ht="12.75" customHeight="1">
      <c r="A51" s="150"/>
      <c r="B51" s="51"/>
      <c r="C51" s="51"/>
      <c r="D51" s="51"/>
      <c r="E51" s="51"/>
      <c r="F51" s="51"/>
      <c r="G51" s="51"/>
      <c r="H51" s="51"/>
      <c r="I51" s="51"/>
      <c r="J51" s="51"/>
      <c r="K51" s="152"/>
    </row>
  </sheetData>
  <phoneticPr fontId="3"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319" customWidth="1"/>
    <col min="2" max="2" width="25" style="319" customWidth="1"/>
    <col min="3" max="3" width="23" style="319" customWidth="1"/>
    <col min="4" max="4" width="22.81640625" style="319" bestFit="1" customWidth="1"/>
    <col min="5" max="5" width="15.81640625" style="319" customWidth="1"/>
    <col min="6" max="7" width="22.81640625" style="319" bestFit="1" customWidth="1"/>
    <col min="8" max="8" width="21.54296875" style="319" customWidth="1"/>
    <col min="9" max="10" width="22.81640625" style="319" bestFit="1" customWidth="1"/>
    <col min="11" max="11" width="1.81640625" style="319" customWidth="1"/>
    <col min="12" max="12" width="1.453125" style="319" customWidth="1"/>
    <col min="13" max="13" width="18.81640625" style="319" customWidth="1"/>
    <col min="14" max="14" width="2" style="319" customWidth="1"/>
    <col min="15" max="16384" width="9.1796875" style="319"/>
  </cols>
  <sheetData>
    <row r="1" spans="1:14" ht="6" customHeight="1">
      <c r="A1" s="353"/>
      <c r="B1" s="354"/>
      <c r="C1" s="354"/>
      <c r="D1" s="354"/>
      <c r="E1" s="354"/>
      <c r="F1" s="354"/>
      <c r="G1" s="354"/>
      <c r="H1" s="354"/>
      <c r="I1" s="354"/>
      <c r="J1" s="354"/>
      <c r="K1" s="355"/>
      <c r="L1" s="356"/>
    </row>
    <row r="2" spans="1:14" ht="18">
      <c r="A2" s="356"/>
      <c r="B2" s="357" t="str">
        <f>'Cover Sheet'!B2</f>
        <v>SC Germany Consumer 2024-1</v>
      </c>
      <c r="C2" s="358"/>
      <c r="D2" s="359" t="str">
        <f>'Cover Sheet'!D2</f>
        <v>Calculation Date</v>
      </c>
      <c r="E2" s="360"/>
      <c r="F2" s="361">
        <f>'Cover Sheet'!F2</f>
        <v>45911</v>
      </c>
      <c r="G2" s="360"/>
      <c r="H2" s="360"/>
      <c r="I2" s="360"/>
      <c r="J2" s="362"/>
      <c r="K2" s="363"/>
      <c r="L2" s="356"/>
    </row>
    <row r="3" spans="1:14" ht="18">
      <c r="A3" s="356"/>
      <c r="B3" s="364" t="str">
        <f>'Cover Sheet'!B3</f>
        <v>Monthly Investor Report</v>
      </c>
      <c r="C3" s="365"/>
      <c r="D3" s="366" t="str">
        <f>'Cover Sheet'!D3</f>
        <v>Payment Date</v>
      </c>
      <c r="E3" s="367"/>
      <c r="F3" s="368">
        <f>'Cover Sheet'!F3</f>
        <v>45915</v>
      </c>
      <c r="G3" s="367"/>
      <c r="H3" s="367"/>
      <c r="I3" s="367"/>
      <c r="J3" s="369"/>
      <c r="K3" s="363"/>
      <c r="L3" s="356"/>
    </row>
    <row r="4" spans="1:14">
      <c r="A4" s="356"/>
      <c r="B4" s="370"/>
      <c r="C4" s="371"/>
      <c r="D4" s="366" t="str">
        <f>'Cover Sheet'!D4</f>
        <v>Period  No</v>
      </c>
      <c r="E4" s="367"/>
      <c r="F4" s="372">
        <f>'Cover Sheet'!F4</f>
        <v>16</v>
      </c>
      <c r="G4" s="367"/>
      <c r="H4" s="373"/>
      <c r="I4" s="367"/>
      <c r="J4" s="369"/>
      <c r="K4" s="374"/>
      <c r="L4" s="375"/>
    </row>
    <row r="5" spans="1:14" ht="18">
      <c r="A5" s="356"/>
      <c r="B5" s="376" t="s">
        <v>363</v>
      </c>
      <c r="C5" s="377"/>
      <c r="D5" s="366" t="str">
        <f>'Cover Sheet'!D5</f>
        <v>Monthly Period</v>
      </c>
      <c r="E5" s="367"/>
      <c r="F5" s="130">
        <f>'Cover Sheet'!F5</f>
        <v>45915</v>
      </c>
      <c r="G5" s="367"/>
      <c r="H5" s="373"/>
      <c r="I5" s="367"/>
      <c r="J5" s="369"/>
      <c r="K5" s="374"/>
      <c r="L5" s="375"/>
    </row>
    <row r="6" spans="1:14" ht="15" customHeight="1">
      <c r="A6" s="356"/>
      <c r="B6" s="378"/>
      <c r="C6" s="379"/>
      <c r="D6" s="366" t="str">
        <f>'Cover Sheet'!D6</f>
        <v>Interest Period</v>
      </c>
      <c r="E6" s="380" t="str">
        <f>'Cover Sheet'!E6</f>
        <v>from</v>
      </c>
      <c r="F6" s="368">
        <f>'Cover Sheet'!F6</f>
        <v>45883</v>
      </c>
      <c r="G6" s="380" t="str">
        <f>'Cover Sheet'!G6</f>
        <v>to</v>
      </c>
      <c r="H6" s="368">
        <f>'Cover Sheet'!H6</f>
        <v>45915</v>
      </c>
      <c r="I6" s="380" t="str">
        <f>'Cover Sheet'!I6</f>
        <v>=</v>
      </c>
      <c r="J6" s="381" t="str">
        <f>'Cover Sheet'!J6</f>
        <v>32 days</v>
      </c>
      <c r="K6" s="382"/>
      <c r="L6" s="383"/>
      <c r="N6" s="384"/>
    </row>
    <row r="7" spans="1:14">
      <c r="A7" s="356"/>
      <c r="B7" s="114"/>
      <c r="D7" s="385" t="str">
        <f>'Cover Sheet'!D7</f>
        <v>Collection Period</v>
      </c>
      <c r="E7" s="386" t="str">
        <f>'Cover Sheet'!E7</f>
        <v>from</v>
      </c>
      <c r="F7" s="387" t="str">
        <f>'Cover Sheet'!F7</f>
        <v>01.08.2025</v>
      </c>
      <c r="G7" s="386" t="str">
        <f>'Cover Sheet'!G7</f>
        <v>to</v>
      </c>
      <c r="H7" s="387">
        <f>'Cover Sheet'!H7</f>
        <v>45900</v>
      </c>
      <c r="I7" s="388"/>
      <c r="J7" s="389"/>
      <c r="K7" s="363"/>
      <c r="L7" s="356"/>
    </row>
    <row r="8" spans="1:14" ht="13">
      <c r="A8" s="356"/>
      <c r="B8" s="356"/>
      <c r="F8" s="390"/>
      <c r="G8" s="391"/>
      <c r="H8" s="392"/>
      <c r="J8" s="393"/>
      <c r="K8" s="363"/>
      <c r="L8" s="394"/>
      <c r="M8" s="384"/>
    </row>
    <row r="9" spans="1:14">
      <c r="A9" s="356"/>
      <c r="B9" s="356"/>
      <c r="F9" s="371"/>
      <c r="J9" s="363"/>
      <c r="K9" s="363"/>
      <c r="L9" s="356"/>
    </row>
    <row r="10" spans="1:14">
      <c r="A10" s="356"/>
      <c r="B10" s="356"/>
      <c r="F10" s="395"/>
      <c r="J10" s="363"/>
      <c r="K10" s="363"/>
      <c r="L10" s="356"/>
    </row>
    <row r="11" spans="1:14" ht="18" customHeight="1">
      <c r="A11" s="356"/>
      <c r="B11" s="356"/>
      <c r="F11" s="371"/>
      <c r="J11" s="363"/>
      <c r="K11" s="363"/>
      <c r="L11" s="356"/>
    </row>
    <row r="12" spans="1:14">
      <c r="A12" s="356"/>
      <c r="B12" s="356"/>
      <c r="F12" s="371"/>
      <c r="J12" s="363"/>
      <c r="K12" s="363"/>
      <c r="L12" s="356"/>
    </row>
    <row r="13" spans="1:14">
      <c r="A13" s="356"/>
      <c r="B13" s="356"/>
      <c r="F13" s="396"/>
      <c r="J13" s="363"/>
      <c r="K13" s="363"/>
      <c r="L13" s="356"/>
    </row>
    <row r="14" spans="1:14" ht="18">
      <c r="A14" s="356"/>
      <c r="B14" s="364" t="s">
        <v>312</v>
      </c>
      <c r="C14" s="397"/>
      <c r="D14" s="397"/>
      <c r="E14" s="397"/>
      <c r="F14" s="398"/>
      <c r="G14" s="398"/>
      <c r="H14" s="399"/>
      <c r="J14" s="400"/>
      <c r="K14" s="363"/>
      <c r="L14" s="401"/>
      <c r="M14" s="397"/>
    </row>
    <row r="15" spans="1:14" ht="12.75" customHeight="1">
      <c r="A15" s="356"/>
      <c r="B15" s="364"/>
      <c r="C15" s="397"/>
      <c r="D15" s="402"/>
      <c r="F15" s="403"/>
      <c r="H15" s="403"/>
      <c r="J15" s="404"/>
      <c r="K15" s="363"/>
      <c r="L15" s="356"/>
      <c r="M15" s="397"/>
    </row>
    <row r="16" spans="1:14" ht="13" thickBot="1">
      <c r="A16" s="356"/>
      <c r="B16" s="405"/>
      <c r="F16" s="403"/>
      <c r="H16" s="406"/>
      <c r="J16" s="404"/>
      <c r="K16" s="363"/>
      <c r="L16" s="356"/>
    </row>
    <row r="17" spans="1:13" ht="15" customHeight="1">
      <c r="A17" s="356"/>
      <c r="B17" s="356"/>
      <c r="C17" s="888" t="s">
        <v>111</v>
      </c>
      <c r="D17" s="891" t="s">
        <v>313</v>
      </c>
      <c r="E17" s="407"/>
      <c r="F17" s="888" t="s">
        <v>111</v>
      </c>
      <c r="G17" s="891" t="s">
        <v>313</v>
      </c>
      <c r="H17" s="384"/>
      <c r="J17" s="404"/>
      <c r="K17" s="363"/>
      <c r="L17" s="408"/>
    </row>
    <row r="18" spans="1:13" ht="13.5" customHeight="1" thickBot="1">
      <c r="A18" s="356"/>
      <c r="B18" s="356"/>
      <c r="C18" s="889"/>
      <c r="D18" s="892"/>
      <c r="E18" s="391"/>
      <c r="F18" s="889"/>
      <c r="G18" s="892"/>
      <c r="H18" s="391"/>
      <c r="J18" s="404"/>
      <c r="K18" s="404"/>
      <c r="L18" s="409"/>
    </row>
    <row r="19" spans="1:13" ht="13">
      <c r="A19" s="356"/>
      <c r="B19" s="356"/>
      <c r="C19" s="391" t="s">
        <v>413</v>
      </c>
      <c r="D19" s="100">
        <f t="shared" ref="D19:D50" si="0">VLOOKUP(CONCATENATE("period_",$C19),Assets_Daten,3,0)</f>
        <v>1131743733.7700009</v>
      </c>
      <c r="E19" s="391"/>
      <c r="F19" s="391" t="s">
        <v>414</v>
      </c>
      <c r="G19" s="100">
        <f t="shared" ref="G19:G50" si="1">VLOOKUP(CONCATENATE("period_",$F19),Assets_Daten,3,0)</f>
        <v>372414067.68000001</v>
      </c>
      <c r="H19" s="391"/>
      <c r="J19" s="404"/>
      <c r="K19" s="404"/>
      <c r="L19" s="356"/>
    </row>
    <row r="20" spans="1:13" ht="13">
      <c r="A20" s="356"/>
      <c r="B20" s="356"/>
      <c r="C20" s="391" t="s">
        <v>415</v>
      </c>
      <c r="D20" s="100">
        <f t="shared" si="0"/>
        <v>1117263158.3199999</v>
      </c>
      <c r="E20" s="410"/>
      <c r="F20" s="391" t="s">
        <v>416</v>
      </c>
      <c r="G20" s="100">
        <f t="shared" si="1"/>
        <v>357129058.95999998</v>
      </c>
      <c r="H20" s="391"/>
      <c r="I20" s="391"/>
      <c r="J20" s="411"/>
      <c r="K20" s="404"/>
      <c r="L20" s="356"/>
    </row>
    <row r="21" spans="1:13" ht="13">
      <c r="A21" s="356"/>
      <c r="B21" s="356"/>
      <c r="C21" s="391" t="s">
        <v>417</v>
      </c>
      <c r="D21" s="100">
        <f t="shared" si="0"/>
        <v>1102718286.48</v>
      </c>
      <c r="E21" s="391"/>
      <c r="F21" s="391" t="s">
        <v>418</v>
      </c>
      <c r="G21" s="100">
        <f t="shared" si="1"/>
        <v>341877064.25999999</v>
      </c>
      <c r="H21" s="391"/>
      <c r="I21" s="391"/>
      <c r="J21" s="411"/>
      <c r="K21" s="363"/>
      <c r="L21" s="356"/>
    </row>
    <row r="22" spans="1:13" ht="13">
      <c r="A22" s="356"/>
      <c r="B22" s="356"/>
      <c r="C22" s="391" t="s">
        <v>419</v>
      </c>
      <c r="D22" s="100">
        <f t="shared" si="0"/>
        <v>1088138074.5599999</v>
      </c>
      <c r="E22" s="407"/>
      <c r="F22" s="391" t="s">
        <v>420</v>
      </c>
      <c r="G22" s="100">
        <f t="shared" si="1"/>
        <v>326677123.56999999</v>
      </c>
      <c r="H22" s="384"/>
      <c r="I22" s="391"/>
      <c r="J22" s="411"/>
      <c r="K22" s="412"/>
      <c r="L22" s="408"/>
      <c r="M22" s="413"/>
    </row>
    <row r="23" spans="1:13" ht="13">
      <c r="A23" s="356"/>
      <c r="B23" s="356"/>
      <c r="C23" s="391" t="s">
        <v>421</v>
      </c>
      <c r="D23" s="100">
        <f t="shared" si="0"/>
        <v>1073511615.7</v>
      </c>
      <c r="E23" s="391"/>
      <c r="F23" s="391" t="s">
        <v>422</v>
      </c>
      <c r="G23" s="100">
        <f t="shared" si="1"/>
        <v>311506925.43000001</v>
      </c>
      <c r="H23" s="391"/>
      <c r="I23" s="391"/>
      <c r="J23" s="411"/>
      <c r="K23" s="404"/>
      <c r="L23" s="356"/>
      <c r="M23" s="414"/>
    </row>
    <row r="24" spans="1:13" ht="13">
      <c r="A24" s="356"/>
      <c r="B24" s="356"/>
      <c r="C24" s="391" t="s">
        <v>423</v>
      </c>
      <c r="D24" s="100">
        <f t="shared" si="0"/>
        <v>1058841354.17</v>
      </c>
      <c r="E24" s="391"/>
      <c r="F24" s="391" t="s">
        <v>424</v>
      </c>
      <c r="G24" s="100">
        <f t="shared" si="1"/>
        <v>296421496.83999997</v>
      </c>
      <c r="H24" s="391"/>
      <c r="I24" s="391"/>
      <c r="J24" s="411"/>
      <c r="K24" s="404"/>
      <c r="L24" s="356"/>
    </row>
    <row r="25" spans="1:13" ht="13">
      <c r="A25" s="356"/>
      <c r="B25" s="356"/>
      <c r="C25" s="391" t="s">
        <v>425</v>
      </c>
      <c r="D25" s="100">
        <f t="shared" si="0"/>
        <v>1044121458.05</v>
      </c>
      <c r="E25" s="410"/>
      <c r="F25" s="391" t="s">
        <v>426</v>
      </c>
      <c r="G25" s="100">
        <f t="shared" si="1"/>
        <v>281430009.50999999</v>
      </c>
      <c r="H25" s="391"/>
      <c r="I25" s="391"/>
      <c r="J25" s="411"/>
      <c r="K25" s="404"/>
      <c r="L25" s="356"/>
    </row>
    <row r="26" spans="1:13" ht="13">
      <c r="A26" s="356"/>
      <c r="B26" s="356"/>
      <c r="C26" s="391" t="s">
        <v>427</v>
      </c>
      <c r="D26" s="100">
        <f t="shared" si="0"/>
        <v>1029372429.71</v>
      </c>
      <c r="E26" s="391"/>
      <c r="F26" s="391" t="s">
        <v>428</v>
      </c>
      <c r="G26" s="100">
        <f t="shared" si="1"/>
        <v>266502043.19</v>
      </c>
      <c r="H26" s="391"/>
      <c r="I26" s="391"/>
      <c r="J26" s="411"/>
      <c r="K26" s="363"/>
      <c r="L26" s="356"/>
    </row>
    <row r="27" spans="1:13" ht="13">
      <c r="A27" s="356"/>
      <c r="B27" s="356"/>
      <c r="C27" s="391" t="s">
        <v>429</v>
      </c>
      <c r="D27" s="100">
        <f t="shared" si="0"/>
        <v>1014596416.14</v>
      </c>
      <c r="E27" s="407"/>
      <c r="F27" s="391" t="s">
        <v>430</v>
      </c>
      <c r="G27" s="100">
        <f t="shared" si="1"/>
        <v>251651344.69</v>
      </c>
      <c r="H27" s="384"/>
      <c r="I27" s="391"/>
      <c r="J27" s="411"/>
      <c r="K27" s="363"/>
      <c r="L27" s="356"/>
      <c r="M27" s="413"/>
    </row>
    <row r="28" spans="1:13" ht="13">
      <c r="A28" s="356"/>
      <c r="B28" s="356"/>
      <c r="C28" s="391" t="s">
        <v>431</v>
      </c>
      <c r="D28" s="100">
        <f t="shared" si="0"/>
        <v>999778138.60000002</v>
      </c>
      <c r="E28" s="391"/>
      <c r="F28" s="391" t="s">
        <v>432</v>
      </c>
      <c r="G28" s="100">
        <f t="shared" si="1"/>
        <v>236922728.84</v>
      </c>
      <c r="H28" s="391"/>
      <c r="I28" s="391"/>
      <c r="J28" s="411"/>
      <c r="K28" s="404"/>
      <c r="L28" s="356"/>
      <c r="M28" s="414"/>
    </row>
    <row r="29" spans="1:13" ht="13">
      <c r="A29" s="356"/>
      <c r="B29" s="356"/>
      <c r="C29" s="391" t="s">
        <v>433</v>
      </c>
      <c r="D29" s="100">
        <f t="shared" si="0"/>
        <v>984906548.00999999</v>
      </c>
      <c r="E29" s="391"/>
      <c r="F29" s="391" t="s">
        <v>434</v>
      </c>
      <c r="G29" s="100">
        <f t="shared" si="1"/>
        <v>222366074.96000001</v>
      </c>
      <c r="H29" s="391"/>
      <c r="I29" s="391"/>
      <c r="J29" s="411"/>
      <c r="K29" s="404"/>
      <c r="L29" s="356"/>
    </row>
    <row r="30" spans="1:13" ht="13">
      <c r="A30" s="356"/>
      <c r="B30" s="356"/>
      <c r="C30" s="391" t="s">
        <v>435</v>
      </c>
      <c r="D30" s="100">
        <f t="shared" si="0"/>
        <v>969991023.49000001</v>
      </c>
      <c r="E30" s="410"/>
      <c r="F30" s="391" t="s">
        <v>436</v>
      </c>
      <c r="G30" s="100">
        <f t="shared" si="1"/>
        <v>207992744.13</v>
      </c>
      <c r="H30" s="391"/>
      <c r="I30" s="391"/>
      <c r="J30" s="411"/>
      <c r="K30" s="404"/>
      <c r="L30" s="356"/>
    </row>
    <row r="31" spans="1:13" ht="13">
      <c r="A31" s="356"/>
      <c r="B31" s="356"/>
      <c r="C31" s="391" t="s">
        <v>437</v>
      </c>
      <c r="D31" s="100">
        <f t="shared" si="0"/>
        <v>955029729.45000005</v>
      </c>
      <c r="E31" s="391"/>
      <c r="F31" s="391" t="s">
        <v>438</v>
      </c>
      <c r="G31" s="100">
        <f t="shared" si="1"/>
        <v>193838383.19999999</v>
      </c>
      <c r="H31" s="391"/>
      <c r="I31" s="391"/>
      <c r="J31" s="411"/>
      <c r="K31" s="363"/>
      <c r="L31" s="356"/>
    </row>
    <row r="32" spans="1:13" ht="13">
      <c r="A32" s="356"/>
      <c r="B32" s="356"/>
      <c r="C32" s="391" t="s">
        <v>439</v>
      </c>
      <c r="D32" s="100">
        <f t="shared" si="0"/>
        <v>940038789.97000003</v>
      </c>
      <c r="E32" s="415"/>
      <c r="F32" s="391" t="s">
        <v>440</v>
      </c>
      <c r="G32" s="100">
        <f t="shared" si="1"/>
        <v>179885695.34999999</v>
      </c>
      <c r="H32" s="391"/>
      <c r="I32" s="391"/>
      <c r="J32" s="411"/>
      <c r="K32" s="363"/>
      <c r="L32" s="356"/>
    </row>
    <row r="33" spans="1:12" ht="13">
      <c r="A33" s="356"/>
      <c r="B33" s="356"/>
      <c r="C33" s="391" t="s">
        <v>441</v>
      </c>
      <c r="D33" s="100">
        <f t="shared" si="0"/>
        <v>925017884.87</v>
      </c>
      <c r="E33" s="391"/>
      <c r="F33" s="391" t="s">
        <v>442</v>
      </c>
      <c r="G33" s="100">
        <f t="shared" si="1"/>
        <v>166119599.53</v>
      </c>
      <c r="H33" s="391"/>
      <c r="I33" s="391"/>
      <c r="J33" s="411"/>
      <c r="K33" s="404"/>
      <c r="L33" s="356"/>
    </row>
    <row r="34" spans="1:12" ht="13">
      <c r="A34" s="356"/>
      <c r="B34" s="356"/>
      <c r="C34" s="391" t="s">
        <v>443</v>
      </c>
      <c r="D34" s="100">
        <f t="shared" si="0"/>
        <v>909964230.42999995</v>
      </c>
      <c r="E34" s="391"/>
      <c r="F34" s="391" t="s">
        <v>444</v>
      </c>
      <c r="G34" s="100">
        <f t="shared" si="1"/>
        <v>152518491.62</v>
      </c>
      <c r="H34" s="391"/>
      <c r="I34" s="391"/>
      <c r="J34" s="411"/>
      <c r="K34" s="404"/>
      <c r="L34" s="356"/>
    </row>
    <row r="35" spans="1:12" ht="13">
      <c r="A35" s="356"/>
      <c r="B35" s="356"/>
      <c r="C35" s="391" t="s">
        <v>445</v>
      </c>
      <c r="D35" s="100">
        <f t="shared" si="0"/>
        <v>894873482.17999995</v>
      </c>
      <c r="E35" s="416"/>
      <c r="F35" s="391" t="s">
        <v>446</v>
      </c>
      <c r="G35" s="100">
        <f t="shared" si="1"/>
        <v>139059496.40000001</v>
      </c>
      <c r="H35" s="391"/>
      <c r="I35" s="391"/>
      <c r="J35" s="411"/>
      <c r="K35" s="404"/>
      <c r="L35" s="356"/>
    </row>
    <row r="36" spans="1:12" ht="13">
      <c r="A36" s="356"/>
      <c r="B36" s="356"/>
      <c r="C36" s="391" t="s">
        <v>447</v>
      </c>
      <c r="D36" s="100">
        <f t="shared" si="0"/>
        <v>879739130.61000001</v>
      </c>
      <c r="E36" s="391"/>
      <c r="F36" s="391" t="s">
        <v>448</v>
      </c>
      <c r="G36" s="100">
        <f t="shared" si="1"/>
        <v>125883587.81999999</v>
      </c>
      <c r="H36" s="391"/>
      <c r="I36" s="391"/>
      <c r="J36" s="411"/>
      <c r="K36" s="363"/>
      <c r="L36" s="356"/>
    </row>
    <row r="37" spans="1:12" ht="13">
      <c r="A37" s="356"/>
      <c r="B37" s="356"/>
      <c r="C37" s="391" t="s">
        <v>449</v>
      </c>
      <c r="D37" s="100">
        <f t="shared" si="0"/>
        <v>864561387.71000004</v>
      </c>
      <c r="E37" s="415"/>
      <c r="F37" s="391" t="s">
        <v>450</v>
      </c>
      <c r="G37" s="100">
        <f t="shared" si="1"/>
        <v>113106360.16</v>
      </c>
      <c r="H37" s="391"/>
      <c r="I37" s="391"/>
      <c r="J37" s="411"/>
      <c r="K37" s="363"/>
      <c r="L37" s="356"/>
    </row>
    <row r="38" spans="1:12" ht="13">
      <c r="A38" s="356"/>
      <c r="B38" s="356"/>
      <c r="C38" s="391" t="s">
        <v>451</v>
      </c>
      <c r="D38" s="100">
        <f t="shared" si="0"/>
        <v>849365410.91999996</v>
      </c>
      <c r="E38" s="391"/>
      <c r="F38" s="391" t="s">
        <v>452</v>
      </c>
      <c r="G38" s="100">
        <f t="shared" si="1"/>
        <v>100668949</v>
      </c>
      <c r="H38" s="391"/>
      <c r="I38" s="391"/>
      <c r="J38" s="363"/>
      <c r="K38" s="404"/>
      <c r="L38" s="356"/>
    </row>
    <row r="39" spans="1:12" ht="13">
      <c r="A39" s="356"/>
      <c r="B39" s="356"/>
      <c r="C39" s="391" t="s">
        <v>453</v>
      </c>
      <c r="D39" s="100">
        <f t="shared" si="0"/>
        <v>834170920.32000005</v>
      </c>
      <c r="E39" s="391"/>
      <c r="F39" s="391" t="s">
        <v>454</v>
      </c>
      <c r="G39" s="100">
        <f t="shared" si="1"/>
        <v>88566206.790000007</v>
      </c>
      <c r="H39" s="391"/>
      <c r="I39" s="391"/>
      <c r="J39" s="363"/>
      <c r="K39" s="404"/>
      <c r="L39" s="356"/>
    </row>
    <row r="40" spans="1:12" ht="13">
      <c r="A40" s="356"/>
      <c r="B40" s="356"/>
      <c r="C40" s="391" t="s">
        <v>455</v>
      </c>
      <c r="D40" s="100">
        <f t="shared" si="0"/>
        <v>818935459.63</v>
      </c>
      <c r="E40" s="416"/>
      <c r="F40" s="391" t="s">
        <v>456</v>
      </c>
      <c r="G40" s="100">
        <f t="shared" si="1"/>
        <v>76932701.390000001</v>
      </c>
      <c r="H40" s="391"/>
      <c r="I40" s="391"/>
      <c r="J40" s="363"/>
      <c r="K40" s="404"/>
      <c r="L40" s="356"/>
    </row>
    <row r="41" spans="1:12" ht="13">
      <c r="A41" s="356"/>
      <c r="B41" s="356"/>
      <c r="C41" s="391" t="s">
        <v>457</v>
      </c>
      <c r="D41" s="100">
        <f t="shared" si="0"/>
        <v>803655698.75999999</v>
      </c>
      <c r="E41" s="417"/>
      <c r="F41" s="391" t="s">
        <v>458</v>
      </c>
      <c r="G41" s="100">
        <f t="shared" si="1"/>
        <v>66102029.68</v>
      </c>
      <c r="H41" s="391"/>
      <c r="I41" s="391"/>
      <c r="J41" s="363"/>
      <c r="K41" s="363"/>
      <c r="L41" s="356"/>
    </row>
    <row r="42" spans="1:12" ht="13">
      <c r="A42" s="356"/>
      <c r="B42" s="356"/>
      <c r="C42" s="391" t="s">
        <v>459</v>
      </c>
      <c r="D42" s="100">
        <f t="shared" si="0"/>
        <v>788333346.42999995</v>
      </c>
      <c r="E42" s="391"/>
      <c r="F42" s="391" t="s">
        <v>460</v>
      </c>
      <c r="G42" s="100">
        <f t="shared" si="1"/>
        <v>56225509.590000004</v>
      </c>
      <c r="H42" s="391"/>
      <c r="I42" s="391"/>
      <c r="J42" s="363"/>
      <c r="K42" s="363"/>
      <c r="L42" s="356"/>
    </row>
    <row r="43" spans="1:12" ht="13">
      <c r="A43" s="356"/>
      <c r="B43" s="356"/>
      <c r="C43" s="391" t="s">
        <v>461</v>
      </c>
      <c r="D43" s="100">
        <f t="shared" si="0"/>
        <v>772990538.53999996</v>
      </c>
      <c r="E43" s="417"/>
      <c r="F43" s="391" t="s">
        <v>462</v>
      </c>
      <c r="G43" s="100">
        <f t="shared" si="1"/>
        <v>47290004.060000002</v>
      </c>
      <c r="H43" s="417"/>
      <c r="I43" s="391"/>
      <c r="J43" s="363"/>
      <c r="K43" s="363"/>
      <c r="L43" s="356"/>
    </row>
    <row r="44" spans="1:12" ht="13">
      <c r="A44" s="356"/>
      <c r="B44" s="356"/>
      <c r="C44" s="391" t="s">
        <v>463</v>
      </c>
      <c r="D44" s="100">
        <f t="shared" si="0"/>
        <v>757641583.64999998</v>
      </c>
      <c r="E44" s="391"/>
      <c r="F44" s="391" t="s">
        <v>464</v>
      </c>
      <c r="G44" s="100">
        <f t="shared" si="1"/>
        <v>39129304.380000003</v>
      </c>
      <c r="H44" s="391"/>
      <c r="I44" s="391"/>
      <c r="J44" s="363"/>
      <c r="K44" s="363"/>
      <c r="L44" s="356"/>
    </row>
    <row r="45" spans="1:12" ht="13">
      <c r="A45" s="356"/>
      <c r="B45" s="356"/>
      <c r="C45" s="391" t="s">
        <v>465</v>
      </c>
      <c r="D45" s="100">
        <f t="shared" si="0"/>
        <v>742290134.75999999</v>
      </c>
      <c r="E45" s="391"/>
      <c r="F45" s="391" t="s">
        <v>466</v>
      </c>
      <c r="G45" s="100">
        <f t="shared" si="1"/>
        <v>31740122.129999999</v>
      </c>
      <c r="H45" s="391"/>
      <c r="I45" s="391"/>
      <c r="J45" s="363"/>
      <c r="K45" s="363"/>
      <c r="L45" s="356"/>
    </row>
    <row r="46" spans="1:12" ht="13">
      <c r="A46" s="356"/>
      <c r="B46" s="356"/>
      <c r="C46" s="391" t="s">
        <v>467</v>
      </c>
      <c r="D46" s="100">
        <f t="shared" si="0"/>
        <v>726926251.75</v>
      </c>
      <c r="E46" s="391"/>
      <c r="F46" s="391" t="s">
        <v>468</v>
      </c>
      <c r="G46" s="100">
        <f t="shared" si="1"/>
        <v>25070964.350000001</v>
      </c>
      <c r="H46" s="391"/>
      <c r="I46" s="391"/>
      <c r="J46" s="363"/>
      <c r="K46" s="363"/>
      <c r="L46" s="356"/>
    </row>
    <row r="47" spans="1:12" ht="13">
      <c r="A47" s="356"/>
      <c r="B47" s="356"/>
      <c r="C47" s="391" t="s">
        <v>469</v>
      </c>
      <c r="D47" s="100">
        <f t="shared" si="0"/>
        <v>711532324.17999995</v>
      </c>
      <c r="E47" s="391"/>
      <c r="F47" s="391" t="s">
        <v>470</v>
      </c>
      <c r="G47" s="100">
        <f t="shared" si="1"/>
        <v>19019761.329999998</v>
      </c>
      <c r="H47" s="391"/>
      <c r="I47" s="391"/>
      <c r="J47" s="363"/>
      <c r="K47" s="363"/>
      <c r="L47" s="356"/>
    </row>
    <row r="48" spans="1:12" ht="13">
      <c r="A48" s="356"/>
      <c r="B48" s="356"/>
      <c r="C48" s="391" t="s">
        <v>471</v>
      </c>
      <c r="D48" s="100">
        <f t="shared" si="0"/>
        <v>696120393.78999996</v>
      </c>
      <c r="E48" s="391"/>
      <c r="F48" s="391" t="s">
        <v>472</v>
      </c>
      <c r="G48" s="100">
        <f t="shared" si="1"/>
        <v>14195092.960000001</v>
      </c>
      <c r="H48" s="391"/>
      <c r="I48" s="391"/>
      <c r="J48" s="363"/>
      <c r="K48" s="363"/>
      <c r="L48" s="356"/>
    </row>
    <row r="49" spans="1:12" ht="13">
      <c r="A49" s="356"/>
      <c r="B49" s="356"/>
      <c r="C49" s="391" t="s">
        <v>473</v>
      </c>
      <c r="D49" s="100">
        <f t="shared" si="0"/>
        <v>680680940.08000004</v>
      </c>
      <c r="E49" s="391"/>
      <c r="F49" s="391" t="s">
        <v>474</v>
      </c>
      <c r="G49" s="100">
        <f t="shared" si="1"/>
        <v>10741870.99</v>
      </c>
      <c r="H49" s="391"/>
      <c r="I49" s="391"/>
      <c r="J49" s="374"/>
      <c r="K49" s="363"/>
      <c r="L49" s="356"/>
    </row>
    <row r="50" spans="1:12" ht="13">
      <c r="A50" s="356"/>
      <c r="B50" s="356"/>
      <c r="C50" s="391" t="s">
        <v>475</v>
      </c>
      <c r="D50" s="100">
        <f t="shared" si="0"/>
        <v>665257192.96000004</v>
      </c>
      <c r="E50" s="391"/>
      <c r="F50" s="391" t="s">
        <v>476</v>
      </c>
      <c r="G50" s="100">
        <f t="shared" si="1"/>
        <v>7919338.3799999999</v>
      </c>
      <c r="H50" s="391"/>
      <c r="I50" s="391"/>
      <c r="J50" s="374"/>
      <c r="K50" s="363"/>
      <c r="L50" s="356"/>
    </row>
    <row r="51" spans="1:12" ht="13">
      <c r="A51" s="356"/>
      <c r="B51" s="356"/>
      <c r="C51" s="391" t="s">
        <v>477</v>
      </c>
      <c r="D51" s="100">
        <f t="shared" ref="D51:D68" si="2">VLOOKUP(CONCATENATE("period_",$C51),Assets_Daten,3,0)</f>
        <v>649858950.54999995</v>
      </c>
      <c r="E51" s="391"/>
      <c r="F51" s="391" t="s">
        <v>478</v>
      </c>
      <c r="G51" s="100">
        <f t="shared" ref="G51:G68" si="3">VLOOKUP(CONCATENATE("period_",$F51),Assets_Daten,3,0)</f>
        <v>5692979.6399999997</v>
      </c>
      <c r="H51" s="391"/>
      <c r="I51" s="391"/>
      <c r="J51" s="374"/>
      <c r="K51" s="363"/>
      <c r="L51" s="356"/>
    </row>
    <row r="52" spans="1:12" ht="13">
      <c r="A52" s="356"/>
      <c r="B52" s="356"/>
      <c r="C52" s="391" t="s">
        <v>479</v>
      </c>
      <c r="D52" s="100">
        <f t="shared" si="2"/>
        <v>634439653.65999997</v>
      </c>
      <c r="E52" s="391"/>
      <c r="F52" s="391" t="s">
        <v>480</v>
      </c>
      <c r="G52" s="100">
        <f t="shared" si="3"/>
        <v>3967415.7</v>
      </c>
      <c r="H52" s="391"/>
      <c r="I52" s="391"/>
      <c r="J52" s="374"/>
      <c r="K52" s="363"/>
      <c r="L52" s="356"/>
    </row>
    <row r="53" spans="1:12" ht="13">
      <c r="A53" s="356"/>
      <c r="B53" s="356"/>
      <c r="C53" s="391" t="s">
        <v>481</v>
      </c>
      <c r="D53" s="100">
        <f t="shared" si="2"/>
        <v>619006731.88</v>
      </c>
      <c r="E53" s="391"/>
      <c r="F53" s="391" t="s">
        <v>482</v>
      </c>
      <c r="G53" s="100">
        <f t="shared" si="3"/>
        <v>2689699.06</v>
      </c>
      <c r="H53" s="391"/>
      <c r="I53" s="391"/>
      <c r="J53" s="374"/>
      <c r="K53" s="363"/>
      <c r="L53" s="356"/>
    </row>
    <row r="54" spans="1:12" ht="13">
      <c r="A54" s="356"/>
      <c r="B54" s="356"/>
      <c r="C54" s="391" t="s">
        <v>483</v>
      </c>
      <c r="D54" s="100">
        <f t="shared" si="2"/>
        <v>603552215.41999996</v>
      </c>
      <c r="E54" s="391"/>
      <c r="F54" s="391" t="s">
        <v>484</v>
      </c>
      <c r="G54" s="100">
        <f t="shared" si="3"/>
        <v>1787243.36</v>
      </c>
      <c r="H54" s="391"/>
      <c r="I54" s="391"/>
      <c r="J54" s="374"/>
      <c r="K54" s="363"/>
      <c r="L54" s="356"/>
    </row>
    <row r="55" spans="1:12" ht="13">
      <c r="A55" s="356"/>
      <c r="B55" s="356"/>
      <c r="C55" s="391" t="s">
        <v>485</v>
      </c>
      <c r="D55" s="100">
        <f t="shared" si="2"/>
        <v>588105827.13999999</v>
      </c>
      <c r="E55" s="391"/>
      <c r="F55" s="391" t="s">
        <v>486</v>
      </c>
      <c r="G55" s="100">
        <f t="shared" si="3"/>
        <v>1163990.8899999999</v>
      </c>
      <c r="H55" s="391"/>
      <c r="I55" s="391"/>
      <c r="J55" s="374"/>
      <c r="K55" s="363"/>
      <c r="L55" s="356"/>
    </row>
    <row r="56" spans="1:12" ht="13">
      <c r="A56" s="356"/>
      <c r="B56" s="356"/>
      <c r="C56" s="391" t="s">
        <v>487</v>
      </c>
      <c r="D56" s="100">
        <f t="shared" si="2"/>
        <v>572661047.13</v>
      </c>
      <c r="E56" s="391"/>
      <c r="F56" s="391" t="s">
        <v>488</v>
      </c>
      <c r="G56" s="100">
        <f t="shared" si="3"/>
        <v>799079.18</v>
      </c>
      <c r="H56" s="391"/>
      <c r="I56" s="391"/>
      <c r="J56" s="374"/>
      <c r="K56" s="363"/>
      <c r="L56" s="356"/>
    </row>
    <row r="57" spans="1:12" ht="13">
      <c r="A57" s="356"/>
      <c r="B57" s="356"/>
      <c r="C57" s="391" t="s">
        <v>489</v>
      </c>
      <c r="D57" s="100">
        <f t="shared" si="2"/>
        <v>557222209.35000002</v>
      </c>
      <c r="E57" s="391"/>
      <c r="F57" s="391" t="s">
        <v>490</v>
      </c>
      <c r="G57" s="100">
        <f t="shared" si="3"/>
        <v>544204.68999999994</v>
      </c>
      <c r="H57" s="391"/>
      <c r="I57" s="391"/>
      <c r="J57" s="374"/>
      <c r="K57" s="363"/>
      <c r="L57" s="356"/>
    </row>
    <row r="58" spans="1:12" ht="13">
      <c r="A58" s="356"/>
      <c r="B58" s="356"/>
      <c r="C58" s="391" t="s">
        <v>491</v>
      </c>
      <c r="D58" s="100">
        <f t="shared" si="2"/>
        <v>541773526.00999999</v>
      </c>
      <c r="E58" s="391"/>
      <c r="F58" s="391" t="s">
        <v>492</v>
      </c>
      <c r="G58" s="100">
        <f t="shared" si="3"/>
        <v>363399.74</v>
      </c>
      <c r="H58" s="391"/>
      <c r="I58" s="391"/>
      <c r="J58" s="374"/>
      <c r="K58" s="363"/>
      <c r="L58" s="356"/>
    </row>
    <row r="59" spans="1:12" ht="13">
      <c r="A59" s="356"/>
      <c r="B59" s="356"/>
      <c r="C59" s="391" t="s">
        <v>493</v>
      </c>
      <c r="D59" s="100">
        <f t="shared" si="2"/>
        <v>526318770.43000001</v>
      </c>
      <c r="E59" s="391"/>
      <c r="F59" s="391" t="s">
        <v>494</v>
      </c>
      <c r="G59" s="100">
        <f t="shared" si="3"/>
        <v>229819.17</v>
      </c>
      <c r="H59" s="391"/>
      <c r="I59" s="391"/>
      <c r="J59" s="374"/>
      <c r="K59" s="363"/>
      <c r="L59" s="356"/>
    </row>
    <row r="60" spans="1:12" ht="13">
      <c r="A60" s="356"/>
      <c r="B60" s="356"/>
      <c r="C60" s="391" t="s">
        <v>495</v>
      </c>
      <c r="D60" s="100">
        <f t="shared" si="2"/>
        <v>510853683.13</v>
      </c>
      <c r="E60" s="391"/>
      <c r="F60" s="391" t="s">
        <v>496</v>
      </c>
      <c r="G60" s="100">
        <f t="shared" si="3"/>
        <v>144509.89000000001</v>
      </c>
      <c r="H60" s="391"/>
      <c r="I60" s="391"/>
      <c r="J60" s="374"/>
      <c r="K60" s="363"/>
      <c r="L60" s="356"/>
    </row>
    <row r="61" spans="1:12" ht="13">
      <c r="A61" s="356"/>
      <c r="B61" s="356"/>
      <c r="C61" s="391" t="s">
        <v>497</v>
      </c>
      <c r="D61" s="100">
        <f t="shared" si="2"/>
        <v>495376145.63</v>
      </c>
      <c r="E61" s="391"/>
      <c r="F61" s="391" t="s">
        <v>498</v>
      </c>
      <c r="G61" s="100">
        <f t="shared" si="3"/>
        <v>87385.85</v>
      </c>
      <c r="H61" s="391"/>
      <c r="I61" s="391"/>
      <c r="J61" s="374"/>
      <c r="K61" s="363"/>
      <c r="L61" s="356"/>
    </row>
    <row r="62" spans="1:12" ht="13">
      <c r="A62" s="356"/>
      <c r="B62" s="356"/>
      <c r="C62" s="391" t="s">
        <v>499</v>
      </c>
      <c r="D62" s="100">
        <f t="shared" si="2"/>
        <v>479923275.67000002</v>
      </c>
      <c r="E62" s="391"/>
      <c r="F62" s="391" t="s">
        <v>500</v>
      </c>
      <c r="G62" s="100">
        <f t="shared" si="3"/>
        <v>54278.62</v>
      </c>
      <c r="H62" s="391"/>
      <c r="I62" s="391"/>
      <c r="J62" s="374"/>
      <c r="K62" s="363"/>
      <c r="L62" s="356"/>
    </row>
    <row r="63" spans="1:12" ht="13">
      <c r="A63" s="356"/>
      <c r="B63" s="356"/>
      <c r="C63" s="391" t="s">
        <v>501</v>
      </c>
      <c r="D63" s="100">
        <f t="shared" si="2"/>
        <v>464523128.08999997</v>
      </c>
      <c r="E63" s="391"/>
      <c r="F63" s="391" t="s">
        <v>502</v>
      </c>
      <c r="G63" s="100">
        <f t="shared" si="3"/>
        <v>38899.25</v>
      </c>
      <c r="H63" s="391"/>
      <c r="I63" s="391"/>
      <c r="J63" s="374"/>
      <c r="K63" s="363"/>
      <c r="L63" s="356"/>
    </row>
    <row r="64" spans="1:12" ht="13">
      <c r="A64" s="356"/>
      <c r="B64" s="356"/>
      <c r="C64" s="391" t="s">
        <v>503</v>
      </c>
      <c r="D64" s="100">
        <f t="shared" si="2"/>
        <v>449120744.17000002</v>
      </c>
      <c r="E64" s="391"/>
      <c r="F64" s="391" t="s">
        <v>504</v>
      </c>
      <c r="G64" s="100">
        <f t="shared" si="3"/>
        <v>32172.18</v>
      </c>
      <c r="H64" s="391"/>
      <c r="I64" s="391"/>
      <c r="J64" s="374"/>
      <c r="K64" s="363"/>
      <c r="L64" s="356"/>
    </row>
    <row r="65" spans="1:12" ht="13">
      <c r="A65" s="356"/>
      <c r="B65" s="356"/>
      <c r="C65" s="391" t="s">
        <v>505</v>
      </c>
      <c r="D65" s="100">
        <f t="shared" si="2"/>
        <v>433734540.83999997</v>
      </c>
      <c r="E65" s="391"/>
      <c r="F65" s="391" t="s">
        <v>506</v>
      </c>
      <c r="G65" s="100">
        <f t="shared" si="3"/>
        <v>27618.9</v>
      </c>
      <c r="H65" s="391"/>
      <c r="I65" s="391"/>
      <c r="J65" s="374"/>
      <c r="K65" s="363"/>
      <c r="L65" s="356"/>
    </row>
    <row r="66" spans="1:12" ht="13">
      <c r="A66" s="356"/>
      <c r="B66" s="356"/>
      <c r="C66" s="391" t="s">
        <v>507</v>
      </c>
      <c r="D66" s="100">
        <f t="shared" si="2"/>
        <v>418359193.11000001</v>
      </c>
      <c r="E66" s="391"/>
      <c r="F66" s="391" t="s">
        <v>508</v>
      </c>
      <c r="G66" s="100">
        <f t="shared" si="3"/>
        <v>24597.439999999999</v>
      </c>
      <c r="H66" s="391"/>
      <c r="I66" s="391"/>
      <c r="J66" s="374"/>
      <c r="K66" s="363"/>
      <c r="L66" s="356"/>
    </row>
    <row r="67" spans="1:12" ht="13">
      <c r="A67" s="356"/>
      <c r="B67" s="356"/>
      <c r="C67" s="391" t="s">
        <v>509</v>
      </c>
      <c r="D67" s="100">
        <f t="shared" si="2"/>
        <v>403023226.72000003</v>
      </c>
      <c r="E67" s="391"/>
      <c r="F67" s="391" t="s">
        <v>510</v>
      </c>
      <c r="G67" s="100">
        <f t="shared" si="3"/>
        <v>22133.8</v>
      </c>
      <c r="H67" s="391"/>
      <c r="I67" s="391"/>
      <c r="J67" s="374"/>
      <c r="K67" s="363"/>
      <c r="L67" s="356"/>
    </row>
    <row r="68" spans="1:12" ht="13">
      <c r="A68" s="356"/>
      <c r="B68" s="356"/>
      <c r="C68" s="391">
        <v>50</v>
      </c>
      <c r="D68" s="100">
        <f t="shared" si="2"/>
        <v>387712852.24000001</v>
      </c>
      <c r="E68" s="391"/>
      <c r="F68" s="391">
        <v>100</v>
      </c>
      <c r="G68" s="100">
        <f t="shared" si="3"/>
        <v>19814.34</v>
      </c>
      <c r="H68" s="391"/>
      <c r="I68" s="391"/>
      <c r="J68" s="374"/>
      <c r="K68" s="363"/>
      <c r="L68" s="356"/>
    </row>
    <row r="69" spans="1:12">
      <c r="A69" s="356"/>
      <c r="B69" s="418"/>
      <c r="C69" s="419"/>
      <c r="D69" s="419"/>
      <c r="E69" s="419"/>
      <c r="F69" s="419"/>
      <c r="G69" s="419"/>
      <c r="H69" s="419"/>
      <c r="I69" s="419"/>
      <c r="J69" s="420"/>
      <c r="K69" s="363"/>
      <c r="L69" s="356"/>
    </row>
    <row r="70" spans="1:12">
      <c r="A70" s="418"/>
      <c r="B70" s="419"/>
      <c r="C70" s="419"/>
      <c r="D70" s="419"/>
      <c r="E70" s="419"/>
      <c r="F70" s="419"/>
      <c r="G70" s="419"/>
      <c r="H70" s="419"/>
      <c r="I70" s="419"/>
      <c r="J70" s="419"/>
      <c r="K70" s="420"/>
      <c r="L70" s="356"/>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T332"/>
  <sheetViews>
    <sheetView view="pageBreakPreview" zoomScale="80" zoomScaleNormal="70" zoomScaleSheetLayoutView="80" workbookViewId="0">
      <selection activeCell="C3" sqref="C3"/>
    </sheetView>
  </sheetViews>
  <sheetFormatPr baseColWidth="10" defaultColWidth="9.1796875" defaultRowHeight="12.5"/>
  <cols>
    <col min="1" max="1" width="1.1796875" style="18" customWidth="1"/>
    <col min="2" max="2" width="2.1796875" style="18" customWidth="1"/>
    <col min="3" max="3" width="80.08984375" style="18" customWidth="1"/>
    <col min="4" max="4" width="17.1796875" style="99" customWidth="1"/>
    <col min="5" max="5" width="17.1796875" style="18" customWidth="1"/>
    <col min="6" max="6" width="11.81640625" style="18" customWidth="1"/>
    <col min="7" max="7" width="15.6328125" style="18" customWidth="1"/>
    <col min="8" max="8" width="12" style="18" customWidth="1"/>
    <col min="9" max="9" width="17.1796875" style="18" customWidth="1"/>
    <col min="10" max="10" width="12" style="18" customWidth="1"/>
    <col min="11" max="11" width="48.81640625" style="18" customWidth="1"/>
    <col min="12" max="12" width="12" style="18" customWidth="1"/>
    <col min="13" max="13" width="17.1796875" style="18" customWidth="1"/>
    <col min="14" max="14" width="12" style="18" customWidth="1"/>
    <col min="15" max="15" width="15.1796875" style="18" customWidth="1"/>
    <col min="16" max="16" width="12" style="18" customWidth="1"/>
    <col min="17" max="17" width="17.1796875" style="18" customWidth="1"/>
    <col min="18" max="18" width="12" style="18" customWidth="1"/>
    <col min="19" max="19" width="7.81640625" style="18" customWidth="1"/>
    <col min="20" max="20" width="1.1796875" style="18" customWidth="1"/>
    <col min="21" max="16384" width="9.1796875" style="18"/>
  </cols>
  <sheetData>
    <row r="1" spans="1:20" ht="6" customHeight="1">
      <c r="A1" s="112"/>
      <c r="B1" s="44"/>
      <c r="C1" s="44"/>
      <c r="D1" s="331"/>
      <c r="E1" s="44"/>
      <c r="F1" s="44"/>
      <c r="G1" s="44"/>
      <c r="H1" s="44"/>
      <c r="I1" s="44"/>
      <c r="J1" s="44"/>
      <c r="K1" s="44"/>
      <c r="L1" s="44"/>
      <c r="M1" s="44"/>
      <c r="N1" s="44"/>
      <c r="O1" s="44"/>
      <c r="P1" s="44"/>
      <c r="Q1" s="44"/>
      <c r="R1" s="44"/>
      <c r="S1" s="44"/>
      <c r="T1" s="113"/>
    </row>
    <row r="2" spans="1:20" ht="18">
      <c r="A2" s="114"/>
      <c r="C2" s="42" t="str">
        <f>'Cover Sheet'!B2</f>
        <v>SC Germany Consumer 2024-1</v>
      </c>
      <c r="D2" s="115" t="str">
        <f>'Cover Sheet'!D2</f>
        <v>Calculation Date</v>
      </c>
      <c r="E2" s="116"/>
      <c r="F2" s="117">
        <f>'Cover Sheet'!F2</f>
        <v>45911</v>
      </c>
      <c r="G2" s="116"/>
      <c r="H2" s="116"/>
      <c r="I2" s="116"/>
      <c r="J2" s="118"/>
      <c r="T2" s="321"/>
    </row>
    <row r="3" spans="1:20" ht="18">
      <c r="A3" s="114"/>
      <c r="C3" s="42" t="str">
        <f>'Cover Sheet'!B3</f>
        <v>Monthly Investor Report</v>
      </c>
      <c r="D3" s="121" t="str">
        <f>'Cover Sheet'!D3</f>
        <v>Payment Date</v>
      </c>
      <c r="E3" s="122"/>
      <c r="F3" s="123">
        <f>'Cover Sheet'!F3</f>
        <v>45915</v>
      </c>
      <c r="G3" s="122"/>
      <c r="H3" s="122"/>
      <c r="I3" s="122"/>
      <c r="J3" s="124"/>
      <c r="T3" s="134"/>
    </row>
    <row r="4" spans="1:20" ht="13">
      <c r="A4" s="114"/>
      <c r="C4" s="120"/>
      <c r="D4" s="121" t="str">
        <f>'Cover Sheet'!D4</f>
        <v>Period  No</v>
      </c>
      <c r="E4" s="122"/>
      <c r="F4" s="126">
        <f>'Cover Sheet'!F4</f>
        <v>16</v>
      </c>
      <c r="G4" s="122"/>
      <c r="H4" s="127"/>
      <c r="I4" s="127"/>
      <c r="J4" s="128"/>
      <c r="T4" s="321"/>
    </row>
    <row r="5" spans="1:20" ht="18">
      <c r="A5" s="114"/>
      <c r="C5" s="129" t="s">
        <v>364</v>
      </c>
      <c r="D5" s="121" t="str">
        <f>'Cover Sheet'!D5</f>
        <v>Monthly Period</v>
      </c>
      <c r="E5" s="122"/>
      <c r="F5" s="130">
        <f>'Cover Sheet'!F5</f>
        <v>45915</v>
      </c>
      <c r="G5" s="122"/>
      <c r="H5" s="127"/>
      <c r="I5" s="127"/>
      <c r="J5" s="128"/>
      <c r="T5" s="134"/>
    </row>
    <row r="6" spans="1:20" ht="15" customHeight="1">
      <c r="A6" s="114"/>
      <c r="C6" s="131"/>
      <c r="D6" s="121" t="str">
        <f>'Cover Sheet'!D6</f>
        <v>Interest Period</v>
      </c>
      <c r="E6" s="130" t="s">
        <v>34</v>
      </c>
      <c r="F6" s="123">
        <f>'Cover Sheet'!F6</f>
        <v>45883</v>
      </c>
      <c r="G6" s="132" t="str">
        <f>'Cover Sheet'!G6</f>
        <v>to</v>
      </c>
      <c r="H6" s="123">
        <f>'Cover Sheet'!H6</f>
        <v>45915</v>
      </c>
      <c r="I6" s="123" t="str">
        <f>'Cover Sheet'!I6</f>
        <v>=</v>
      </c>
      <c r="J6" s="332" t="str">
        <f>'Cover Sheet'!J6</f>
        <v>32 days</v>
      </c>
      <c r="T6" s="134"/>
    </row>
    <row r="7" spans="1:20" ht="13">
      <c r="A7" s="114"/>
      <c r="D7" s="136" t="str">
        <f>'Cover Sheet'!D7</f>
        <v>Collection Period</v>
      </c>
      <c r="E7" s="137" t="s">
        <v>34</v>
      </c>
      <c r="F7" s="138" t="str">
        <f>'Cover Sheet'!F7</f>
        <v>01.08.2025</v>
      </c>
      <c r="G7" s="137" t="str">
        <f>'Cover Sheet'!G7</f>
        <v>to</v>
      </c>
      <c r="H7" s="138">
        <f>'Cover Sheet'!H7</f>
        <v>45900</v>
      </c>
      <c r="I7" s="138"/>
      <c r="J7" s="162"/>
      <c r="T7" s="134"/>
    </row>
    <row r="8" spans="1:20" ht="13">
      <c r="A8" s="114"/>
      <c r="F8" s="142"/>
      <c r="G8" s="81"/>
      <c r="H8" s="142"/>
      <c r="M8" s="163"/>
      <c r="N8" s="163"/>
      <c r="O8" s="163"/>
      <c r="P8" s="163"/>
      <c r="Q8" s="163"/>
      <c r="T8" s="134"/>
    </row>
    <row r="9" spans="1:20">
      <c r="A9" s="114"/>
      <c r="T9" s="119"/>
    </row>
    <row r="10" spans="1:20">
      <c r="A10" s="114"/>
      <c r="G10" s="111"/>
      <c r="T10" s="119"/>
    </row>
    <row r="11" spans="1:20" ht="18">
      <c r="A11" s="114"/>
      <c r="C11" s="165"/>
      <c r="F11" s="42"/>
      <c r="H11" s="42"/>
      <c r="I11" s="323"/>
      <c r="J11" s="323"/>
      <c r="K11" s="323"/>
      <c r="L11" s="323"/>
      <c r="T11" s="119"/>
    </row>
    <row r="12" spans="1:20">
      <c r="A12" s="114"/>
      <c r="T12" s="119"/>
    </row>
    <row r="13" spans="1:20" ht="18">
      <c r="A13" s="114"/>
      <c r="B13" s="42" t="s">
        <v>353</v>
      </c>
      <c r="C13" s="42"/>
      <c r="G13" s="42"/>
      <c r="I13" s="42" t="s">
        <v>354</v>
      </c>
      <c r="T13" s="119"/>
    </row>
    <row r="14" spans="1:20" ht="10.5" customHeight="1">
      <c r="A14" s="114"/>
      <c r="B14" s="112"/>
      <c r="C14" s="44"/>
      <c r="D14" s="331"/>
      <c r="E14" s="44"/>
      <c r="F14" s="44"/>
      <c r="G14" s="44"/>
      <c r="H14" s="44"/>
      <c r="I14" s="44"/>
      <c r="J14" s="44"/>
      <c r="K14" s="44"/>
      <c r="L14" s="44"/>
      <c r="M14" s="44"/>
      <c r="N14" s="44"/>
      <c r="O14" s="44"/>
      <c r="P14" s="44"/>
      <c r="Q14" s="44"/>
      <c r="R14" s="44"/>
      <c r="S14" s="113"/>
      <c r="T14" s="119"/>
    </row>
    <row r="15" spans="1:20" ht="13.5" customHeight="1">
      <c r="A15" s="114"/>
      <c r="B15" s="114"/>
      <c r="C15" s="18" t="s">
        <v>222</v>
      </c>
      <c r="D15" s="99" t="s">
        <v>223</v>
      </c>
      <c r="E15" s="852">
        <f>VLOOKUP("Interest_collections",calcdata,2,0)</f>
        <v>7929570.4199999999</v>
      </c>
      <c r="I15" s="334" t="s">
        <v>302</v>
      </c>
      <c r="J15" s="334"/>
      <c r="K15" s="334"/>
      <c r="L15" s="99" t="s">
        <v>223</v>
      </c>
      <c r="M15" s="333">
        <f>VLOOKUP("Principal_collections",calcdata,2,0)</f>
        <v>33132388.010000002</v>
      </c>
      <c r="S15" s="119"/>
      <c r="T15" s="119"/>
    </row>
    <row r="16" spans="1:20" ht="13.5" customHeight="1">
      <c r="A16" s="114"/>
      <c r="B16" s="114"/>
      <c r="C16" s="18" t="s">
        <v>378</v>
      </c>
      <c r="D16" s="99" t="s">
        <v>223</v>
      </c>
      <c r="E16" s="852">
        <f>VLOOKUP("Other_interest_Payments",calcdata,2,0)</f>
        <v>0</v>
      </c>
      <c r="I16" s="334" t="s">
        <v>714</v>
      </c>
      <c r="J16" s="334"/>
      <c r="K16" s="334"/>
      <c r="L16" s="99" t="s">
        <v>223</v>
      </c>
      <c r="M16" s="333">
        <f>VLOOKUP("Other_Principal_amount",calcdata,2,0)</f>
        <v>0</v>
      </c>
      <c r="S16" s="119"/>
      <c r="T16" s="119"/>
    </row>
    <row r="17" spans="1:20" ht="13.5" customHeight="1">
      <c r="A17" s="114"/>
      <c r="B17" s="114"/>
      <c r="C17" s="18" t="s">
        <v>518</v>
      </c>
      <c r="D17" s="99" t="s">
        <v>223</v>
      </c>
      <c r="E17" s="852">
        <f>VLOOKUP("Recoveries_received",calcdata,2,0)</f>
        <v>107353.22</v>
      </c>
      <c r="I17" s="334" t="s">
        <v>379</v>
      </c>
      <c r="J17" s="334"/>
      <c r="K17" s="334"/>
      <c r="L17" s="99" t="s">
        <v>223</v>
      </c>
      <c r="M17" s="333">
        <f>VLOOKUP("Final_Repurchase_Price",calcdata,2,0)</f>
        <v>0</v>
      </c>
      <c r="S17" s="119"/>
      <c r="T17" s="119"/>
    </row>
    <row r="18" spans="1:20" ht="13.5" customHeight="1">
      <c r="A18" s="114"/>
      <c r="B18" s="114"/>
      <c r="C18" s="18" t="s">
        <v>519</v>
      </c>
      <c r="D18" s="99" t="s">
        <v>223</v>
      </c>
      <c r="E18" s="852">
        <f>VLOOKUP("Interests_earned_Transaction_Purchase_Shortfall_Account",calcdata,2,0)</f>
        <v>0.03</v>
      </c>
      <c r="I18" s="334" t="s">
        <v>380</v>
      </c>
      <c r="J18" s="334"/>
      <c r="K18" s="334"/>
      <c r="L18" s="99" t="s">
        <v>223</v>
      </c>
      <c r="M18" s="333">
        <f>VLOOKUP("Amounts_credit_Com_Reserve_Account",calcdata,2,0)</f>
        <v>0</v>
      </c>
      <c r="S18" s="119"/>
      <c r="T18" s="119"/>
    </row>
    <row r="19" spans="1:20" ht="13.5" customHeight="1">
      <c r="A19" s="114"/>
      <c r="B19" s="114"/>
      <c r="C19" s="18" t="s">
        <v>520</v>
      </c>
      <c r="D19" s="99" t="s">
        <v>223</v>
      </c>
      <c r="E19" s="852">
        <f>VLOOKUP("Amounts_ComReserve_Account",calcdata,2,0)</f>
        <v>0</v>
      </c>
      <c r="I19" s="334" t="s">
        <v>525</v>
      </c>
      <c r="J19" s="334"/>
      <c r="K19" s="334"/>
      <c r="L19" s="99" t="s">
        <v>223</v>
      </c>
      <c r="M19" s="333">
        <f>VLOOKUP("Amounts_credit_SettOff_Reserve_Account",calcdata,2,0)</f>
        <v>0</v>
      </c>
      <c r="S19" s="119"/>
      <c r="T19" s="119"/>
    </row>
    <row r="20" spans="1:20" ht="13.5" customHeight="1">
      <c r="A20" s="114"/>
      <c r="B20" s="114"/>
      <c r="C20" s="18" t="s">
        <v>521</v>
      </c>
      <c r="D20" s="99" t="s">
        <v>223</v>
      </c>
      <c r="E20" s="852">
        <f>VLOOKUP("Amounts_Liqudity_Reserve_Account",calcdata,2,0)</f>
        <v>18014614.390000001</v>
      </c>
      <c r="I20" s="334" t="s">
        <v>702</v>
      </c>
      <c r="J20" s="334"/>
      <c r="K20" s="334"/>
      <c r="L20" s="99" t="s">
        <v>223</v>
      </c>
      <c r="M20" s="333">
        <f>VLOOKUP("Amounts_credit_Purchase_Shortfall_Account",calcdata,2,0)</f>
        <v>34.74</v>
      </c>
      <c r="S20" s="119"/>
      <c r="T20" s="119"/>
    </row>
    <row r="21" spans="1:20" ht="13.5" customHeight="1">
      <c r="A21" s="114"/>
      <c r="B21" s="114"/>
      <c r="C21" s="18" t="s">
        <v>766</v>
      </c>
      <c r="D21" s="99" t="s">
        <v>223</v>
      </c>
      <c r="E21" s="853">
        <f>VLOOKUP("Amounts_Expense_Advance_Account",calcdata,2,0)</f>
        <v>208.58</v>
      </c>
      <c r="I21" s="334" t="s">
        <v>381</v>
      </c>
      <c r="J21" s="334"/>
      <c r="K21" s="334"/>
      <c r="L21" s="99" t="s">
        <v>223</v>
      </c>
      <c r="M21" s="333">
        <f>VLOOKUP("Mezzanine_loan_disbursement",calcdata,2,0)</f>
        <v>0</v>
      </c>
      <c r="S21" s="119"/>
      <c r="T21" s="119"/>
    </row>
    <row r="22" spans="1:20" ht="13.5" customHeight="1">
      <c r="A22" s="114"/>
      <c r="B22" s="114"/>
      <c r="C22" s="18" t="s">
        <v>522</v>
      </c>
      <c r="D22" s="99" t="s">
        <v>223</v>
      </c>
      <c r="E22" s="852">
        <f>VLOOKUP("Interests_paid_Swap_Counterparty",calcdata,2,0)</f>
        <v>0</v>
      </c>
      <c r="I22" s="334" t="s">
        <v>382</v>
      </c>
      <c r="J22" s="334"/>
      <c r="K22" s="334"/>
      <c r="L22" s="99" t="s">
        <v>223</v>
      </c>
      <c r="M22" s="333">
        <f>VLOOKUP("PDL",calcdata,2,0)</f>
        <v>3646087.28</v>
      </c>
      <c r="S22" s="119"/>
      <c r="T22" s="119"/>
    </row>
    <row r="23" spans="1:20" ht="13.5" customHeight="1" thickBot="1">
      <c r="A23" s="114"/>
      <c r="B23" s="114"/>
      <c r="C23" s="18" t="s">
        <v>701</v>
      </c>
      <c r="D23" s="99" t="s">
        <v>223</v>
      </c>
      <c r="E23" s="852">
        <f>VLOOKUP("Principal_addition_amounts",calcdata,2,0)</f>
        <v>0</v>
      </c>
      <c r="I23" s="798" t="s">
        <v>524</v>
      </c>
      <c r="J23" s="334"/>
      <c r="K23" s="334"/>
      <c r="L23" s="99" t="s">
        <v>223</v>
      </c>
      <c r="M23" s="797">
        <f>VLOOKUP("Other_amounts_paid_Principal",calcdata,2,0)</f>
        <v>0</v>
      </c>
      <c r="S23" s="119"/>
      <c r="T23" s="119"/>
    </row>
    <row r="24" spans="1:20" ht="13.5" customHeight="1" thickTop="1">
      <c r="A24" s="114"/>
      <c r="B24" s="114"/>
      <c r="C24" s="18" t="s">
        <v>524</v>
      </c>
      <c r="D24" s="99" t="s">
        <v>223</v>
      </c>
      <c r="E24" s="852">
        <f>VLOOKUP("Other_amounts_paid_Interests",calcdata,2,0)</f>
        <v>0</v>
      </c>
      <c r="I24" s="334" t="s">
        <v>221</v>
      </c>
      <c r="J24" s="334"/>
      <c r="K24" s="334"/>
      <c r="L24" s="99" t="s">
        <v>15</v>
      </c>
      <c r="M24" s="333">
        <f>VLOOKUP("Available_Principal_amount",calcdata,2,0)</f>
        <v>36778510.030000001</v>
      </c>
      <c r="S24" s="119"/>
      <c r="T24" s="119"/>
    </row>
    <row r="25" spans="1:20" ht="13.5" customHeight="1" thickBot="1">
      <c r="A25" s="114"/>
      <c r="B25" s="114"/>
      <c r="C25" s="18" t="s">
        <v>523</v>
      </c>
      <c r="D25" s="99" t="s">
        <v>223</v>
      </c>
      <c r="E25" s="854">
        <f>VLOOKUP("Remaining_PreEnforcement_available_Principal_amount",calcdata,2,0)</f>
        <v>0</v>
      </c>
      <c r="S25" s="119"/>
      <c r="T25" s="119"/>
    </row>
    <row r="26" spans="1:20" ht="13.5" customHeight="1" thickTop="1">
      <c r="A26" s="114"/>
      <c r="B26" s="114"/>
      <c r="C26" s="18" t="s">
        <v>220</v>
      </c>
      <c r="D26" s="99" t="s">
        <v>15</v>
      </c>
      <c r="E26" s="855">
        <f>VLOOKUP("Available_Interest_amount",calcdata,2,0)</f>
        <v>26051746.640000001</v>
      </c>
      <c r="J26" s="334"/>
      <c r="K26" s="334"/>
      <c r="S26" s="119"/>
      <c r="T26" s="119"/>
    </row>
    <row r="27" spans="1:20" ht="13.5" customHeight="1">
      <c r="A27" s="114"/>
      <c r="B27" s="114"/>
      <c r="E27" s="336"/>
      <c r="I27" s="334"/>
      <c r="J27" s="334"/>
      <c r="K27" s="334"/>
      <c r="L27" s="99"/>
      <c r="M27" s="336"/>
      <c r="S27" s="119"/>
      <c r="T27" s="119"/>
    </row>
    <row r="28" spans="1:20">
      <c r="A28" s="114"/>
      <c r="B28" s="150"/>
      <c r="C28" s="51" t="s">
        <v>535</v>
      </c>
      <c r="D28" s="337"/>
      <c r="E28" s="51"/>
      <c r="F28" s="51"/>
      <c r="G28" s="51"/>
      <c r="H28" s="51"/>
      <c r="I28" s="51"/>
      <c r="J28" s="51"/>
      <c r="K28" s="51"/>
      <c r="L28" s="337"/>
      <c r="M28" s="51"/>
      <c r="N28" s="51"/>
      <c r="O28" s="51"/>
      <c r="P28" s="51"/>
      <c r="Q28" s="51"/>
      <c r="R28" s="51"/>
      <c r="S28" s="152"/>
      <c r="T28" s="119"/>
    </row>
    <row r="29" spans="1:20">
      <c r="A29" s="114"/>
      <c r="L29" s="99"/>
      <c r="T29" s="119"/>
    </row>
    <row r="30" spans="1:20" ht="18">
      <c r="A30" s="114"/>
      <c r="B30" s="42" t="s">
        <v>372</v>
      </c>
      <c r="C30" s="42"/>
      <c r="E30" s="199"/>
      <c r="F30" s="199"/>
      <c r="G30" s="42"/>
      <c r="H30" s="168"/>
      <c r="I30" s="42" t="s">
        <v>373</v>
      </c>
      <c r="J30" s="168"/>
      <c r="K30" s="168"/>
      <c r="L30" s="338"/>
      <c r="M30" s="111"/>
      <c r="N30" s="111"/>
      <c r="O30" s="111"/>
      <c r="P30" s="111"/>
      <c r="Q30" s="111"/>
      <c r="R30" s="111"/>
      <c r="T30" s="119"/>
    </row>
    <row r="31" spans="1:20" ht="10.5" customHeight="1">
      <c r="A31" s="114"/>
      <c r="B31" s="112"/>
      <c r="C31" s="339"/>
      <c r="D31" s="331"/>
      <c r="E31" s="340"/>
      <c r="F31" s="340"/>
      <c r="G31" s="341"/>
      <c r="H31" s="342"/>
      <c r="I31" s="341"/>
      <c r="J31" s="342"/>
      <c r="K31" s="342"/>
      <c r="L31" s="343"/>
      <c r="M31" s="344"/>
      <c r="N31" s="344"/>
      <c r="O31" s="344"/>
      <c r="P31" s="344"/>
      <c r="Q31" s="344"/>
      <c r="R31" s="344"/>
      <c r="S31" s="113"/>
      <c r="T31" s="119"/>
    </row>
    <row r="32" spans="1:20" ht="15" customHeight="1">
      <c r="A32" s="114"/>
      <c r="B32" s="114"/>
      <c r="C32" s="796" t="s">
        <v>220</v>
      </c>
      <c r="D32" s="84"/>
      <c r="E32" s="336">
        <f>VLOOKUP("Available_Interest_amount",calcdata,2,0)</f>
        <v>26051746.640000001</v>
      </c>
      <c r="F32" s="261"/>
      <c r="H32" s="262"/>
      <c r="I32" s="334" t="s">
        <v>221</v>
      </c>
      <c r="J32" s="334"/>
      <c r="K32" s="334"/>
      <c r="L32" s="263"/>
      <c r="M32" s="849">
        <f>VLOOKUP("Available_Principal_amount",calcdata,2,0)</f>
        <v>36778510.030000001</v>
      </c>
      <c r="N32" s="168"/>
      <c r="O32" s="168"/>
      <c r="P32" s="168"/>
      <c r="Q32" s="168"/>
      <c r="R32" s="168"/>
      <c r="S32" s="119"/>
      <c r="T32" s="119"/>
    </row>
    <row r="33" spans="1:20" ht="15" customHeight="1">
      <c r="A33" s="114"/>
      <c r="B33" s="114"/>
      <c r="C33" s="796" t="s">
        <v>288</v>
      </c>
      <c r="D33" s="85" t="s">
        <v>35</v>
      </c>
      <c r="E33" s="336">
        <f>VLOOKUP("Senior_Expenses",calcdata,2,0)</f>
        <v>15.55</v>
      </c>
      <c r="F33" s="264"/>
      <c r="H33" s="266"/>
      <c r="I33" s="334" t="s">
        <v>289</v>
      </c>
      <c r="J33" s="334"/>
      <c r="K33" s="334"/>
      <c r="L33" s="265" t="s">
        <v>35</v>
      </c>
      <c r="M33" s="849">
        <f>VLOOKUP("Addition_amounts",calcdata,2,0)</f>
        <v>0</v>
      </c>
      <c r="N33" s="206"/>
      <c r="O33" s="206"/>
      <c r="P33" s="206"/>
      <c r="Q33" s="206"/>
      <c r="R33" s="206"/>
      <c r="S33" s="119"/>
      <c r="T33" s="119"/>
    </row>
    <row r="34" spans="1:20" ht="15" customHeight="1">
      <c r="A34" s="114"/>
      <c r="B34" s="114"/>
      <c r="C34" s="796" t="s">
        <v>703</v>
      </c>
      <c r="D34" s="85" t="s">
        <v>35</v>
      </c>
      <c r="E34" s="336">
        <f>VLOOKUP("Replacement_servicer_fee_reserve",calcdata,2,0)</f>
        <v>0</v>
      </c>
      <c r="F34" s="264"/>
      <c r="H34" s="266"/>
      <c r="I34" s="334" t="s">
        <v>374</v>
      </c>
      <c r="J34" s="334"/>
      <c r="K34" s="334"/>
      <c r="L34" s="99" t="s">
        <v>15</v>
      </c>
      <c r="M34" s="849">
        <f>VLOOKUP("Net_note_available_Principal_Proceeds",calcdata,2,0)</f>
        <v>36778510.030000001</v>
      </c>
      <c r="N34" s="206"/>
      <c r="O34" s="206"/>
      <c r="P34" s="206"/>
      <c r="Q34" s="206"/>
      <c r="R34" s="206"/>
      <c r="S34" s="119"/>
      <c r="T34" s="119"/>
    </row>
    <row r="35" spans="1:20" ht="15" customHeight="1">
      <c r="A35" s="114"/>
      <c r="B35" s="114"/>
      <c r="C35" s="837" t="s">
        <v>290</v>
      </c>
      <c r="D35" s="85" t="s">
        <v>35</v>
      </c>
      <c r="E35" s="336">
        <f>VLOOKUP("Swap_payment",calcdata,2,0)</f>
        <v>798260.67</v>
      </c>
      <c r="F35" s="264"/>
      <c r="H35" s="266"/>
      <c r="I35" s="334" t="s">
        <v>225</v>
      </c>
      <c r="J35" s="334"/>
      <c r="K35" s="334"/>
      <c r="L35" s="265" t="s">
        <v>35</v>
      </c>
      <c r="M35" s="849">
        <f>VLOOKUP("Replenishment",calcdata,2,0)</f>
        <v>0</v>
      </c>
      <c r="N35" s="206"/>
      <c r="O35" s="206"/>
      <c r="P35" s="206"/>
      <c r="Q35" s="206"/>
      <c r="R35" s="206"/>
      <c r="S35" s="119"/>
      <c r="T35" s="119"/>
    </row>
    <row r="36" spans="1:20" ht="15" customHeight="1">
      <c r="A36" s="114"/>
      <c r="B36" s="114"/>
      <c r="C36" s="796" t="s">
        <v>224</v>
      </c>
      <c r="D36" s="85" t="s">
        <v>35</v>
      </c>
      <c r="E36" s="336">
        <f>VLOOKUP("A_interest_amount_notes",calcdata,2,0)</f>
        <v>2046379.05</v>
      </c>
      <c r="F36" s="264"/>
      <c r="H36" s="266"/>
      <c r="I36" s="334" t="s">
        <v>137</v>
      </c>
      <c r="J36" s="334"/>
      <c r="K36" s="334"/>
      <c r="L36" s="265" t="s">
        <v>35</v>
      </c>
      <c r="M36" s="849">
        <f>VLOOKUP("Purchase_Shortfall",calcdata,2,0)</f>
        <v>0</v>
      </c>
      <c r="N36" s="206"/>
      <c r="O36" s="206"/>
      <c r="P36" s="206"/>
      <c r="Q36" s="206"/>
      <c r="R36" s="206"/>
      <c r="S36" s="119"/>
      <c r="T36" s="119"/>
    </row>
    <row r="37" spans="1:20" ht="15" customHeight="1">
      <c r="A37" s="114"/>
      <c r="B37" s="114"/>
      <c r="C37" s="796" t="s">
        <v>534</v>
      </c>
      <c r="D37" s="85" t="s">
        <v>35</v>
      </c>
      <c r="E37" s="336">
        <f>VLOOKUP("B_interest_amount_notes",calcdata,2,0)</f>
        <v>213998.4</v>
      </c>
      <c r="F37" s="264"/>
      <c r="H37" s="266"/>
      <c r="I37" s="18" t="s">
        <v>774</v>
      </c>
      <c r="L37" s="265" t="s">
        <v>35</v>
      </c>
      <c r="M37" s="850">
        <f>VLOOKUP("A_sequential_Principal",calcdata,2,0)</f>
        <v>36778481.100000001</v>
      </c>
      <c r="N37" s="206"/>
      <c r="O37" s="206"/>
      <c r="P37" s="206"/>
      <c r="Q37" s="206"/>
      <c r="R37" s="206"/>
      <c r="S37" s="119"/>
      <c r="T37" s="119"/>
    </row>
    <row r="38" spans="1:20" ht="15" customHeight="1">
      <c r="A38" s="114"/>
      <c r="B38" s="114"/>
      <c r="C38" s="796" t="s">
        <v>291</v>
      </c>
      <c r="D38" s="85" t="s">
        <v>35</v>
      </c>
      <c r="E38" s="336">
        <f>VLOOKUP("C_interest_amount_notes",calcdata,2,0)</f>
        <v>219507.6</v>
      </c>
      <c r="F38" s="264"/>
      <c r="H38" s="266"/>
      <c r="I38" s="18" t="s">
        <v>768</v>
      </c>
      <c r="L38" s="265" t="s">
        <v>35</v>
      </c>
      <c r="M38" s="850">
        <f>VLOOKUP("A_prorata_Principal",calcdata,2,0)</f>
        <v>0</v>
      </c>
      <c r="N38" s="206"/>
      <c r="O38" s="206"/>
      <c r="P38" s="206"/>
      <c r="Q38" s="206"/>
      <c r="R38" s="206"/>
      <c r="S38" s="119"/>
      <c r="T38" s="119"/>
    </row>
    <row r="39" spans="1:20" ht="15" customHeight="1">
      <c r="A39" s="114"/>
      <c r="B39" s="114"/>
      <c r="C39" s="796" t="s">
        <v>293</v>
      </c>
      <c r="D39" s="85" t="s">
        <v>35</v>
      </c>
      <c r="E39" s="336">
        <f>VLOOKUP("D_interest_amount_notes",calcdata,2,0)</f>
        <v>110889.9</v>
      </c>
      <c r="F39" s="264"/>
      <c r="H39" s="266"/>
      <c r="I39" s="18" t="s">
        <v>769</v>
      </c>
      <c r="L39" s="265" t="s">
        <v>35</v>
      </c>
      <c r="M39" s="850">
        <f>VLOOKUP("B_prorata_Principal",calcdata,2,0)</f>
        <v>0</v>
      </c>
      <c r="N39" s="206"/>
      <c r="O39" s="206"/>
      <c r="P39" s="206"/>
      <c r="Q39" s="206"/>
      <c r="R39" s="206"/>
      <c r="S39" s="119"/>
      <c r="T39" s="119"/>
    </row>
    <row r="40" spans="1:20" ht="15" customHeight="1">
      <c r="A40" s="114"/>
      <c r="B40" s="114"/>
      <c r="C40" s="796" t="s">
        <v>294</v>
      </c>
      <c r="D40" s="85" t="s">
        <v>35</v>
      </c>
      <c r="E40" s="336">
        <f>VLOOKUP("E_interest_amount_notes",calcdata,2,0)</f>
        <v>189489.3</v>
      </c>
      <c r="F40" s="264"/>
      <c r="H40" s="266"/>
      <c r="I40" s="18" t="s">
        <v>770</v>
      </c>
      <c r="J40" s="334"/>
      <c r="K40" s="334"/>
      <c r="L40" s="265" t="s">
        <v>35</v>
      </c>
      <c r="M40" s="849">
        <f>VLOOKUP("c_prorata_Principal",calcdata,2,0)</f>
        <v>0</v>
      </c>
      <c r="N40" s="206"/>
      <c r="O40" s="206"/>
      <c r="P40" s="206"/>
      <c r="Q40" s="206"/>
      <c r="R40" s="206"/>
      <c r="S40" s="119"/>
      <c r="T40" s="119"/>
    </row>
    <row r="41" spans="1:20" ht="15" customHeight="1">
      <c r="A41" s="114"/>
      <c r="B41" s="114"/>
      <c r="C41" s="796" t="s">
        <v>295</v>
      </c>
      <c r="D41" s="85" t="s">
        <v>35</v>
      </c>
      <c r="E41" s="336">
        <f>VLOOKUP("F_interest_amount_notes",calcdata,2,0)</f>
        <v>39996</v>
      </c>
      <c r="F41" s="264"/>
      <c r="H41" s="266"/>
      <c r="I41" s="18" t="s">
        <v>771</v>
      </c>
      <c r="L41" s="265" t="s">
        <v>35</v>
      </c>
      <c r="M41" s="850">
        <f>VLOOKUP("d_prorata_Principal",calcdata,2,0)</f>
        <v>0</v>
      </c>
      <c r="N41" s="206"/>
      <c r="O41" s="206"/>
      <c r="P41" s="206"/>
      <c r="Q41" s="206"/>
      <c r="R41" s="206"/>
      <c r="S41" s="119"/>
      <c r="T41" s="119"/>
    </row>
    <row r="42" spans="1:20" ht="15" customHeight="1">
      <c r="A42" s="114"/>
      <c r="B42" s="114"/>
      <c r="C42" s="796" t="s">
        <v>747</v>
      </c>
      <c r="D42" s="85" t="s">
        <v>35</v>
      </c>
      <c r="E42" s="336">
        <f>VLOOKUP("Liquidity_Reserve_Account",calcdata,2,0)</f>
        <v>17359083.66</v>
      </c>
      <c r="F42" s="264"/>
      <c r="H42" s="266"/>
      <c r="I42" s="18" t="s">
        <v>772</v>
      </c>
      <c r="L42" s="265" t="s">
        <v>35</v>
      </c>
      <c r="M42" s="850">
        <f>VLOOKUP("e_prorata_Principal",calcdata,2,0)</f>
        <v>0</v>
      </c>
      <c r="N42" s="206"/>
      <c r="O42" s="206"/>
      <c r="P42" s="206"/>
      <c r="Q42" s="206"/>
      <c r="R42" s="206"/>
      <c r="S42" s="119"/>
      <c r="T42" s="119"/>
    </row>
    <row r="43" spans="1:20" ht="15" customHeight="1">
      <c r="A43" s="114"/>
      <c r="B43" s="114"/>
      <c r="C43" s="796" t="s">
        <v>296</v>
      </c>
      <c r="D43" s="85" t="s">
        <v>35</v>
      </c>
      <c r="E43" s="336">
        <f>VLOOKUP("Elimination_PDL",calcdata,2,0)</f>
        <v>3646087.28</v>
      </c>
      <c r="F43" s="264"/>
      <c r="H43" s="266"/>
      <c r="I43" s="18" t="s">
        <v>292</v>
      </c>
      <c r="L43" s="265" t="s">
        <v>35</v>
      </c>
      <c r="M43" s="850">
        <f>VLOOKUP("A_sequential_Principal_after_Trigger",calcdata,2,0)</f>
        <v>0</v>
      </c>
      <c r="N43" s="206"/>
      <c r="O43" s="206"/>
      <c r="P43" s="206"/>
      <c r="Q43" s="206"/>
      <c r="R43" s="206"/>
      <c r="S43" s="119"/>
      <c r="T43" s="119"/>
    </row>
    <row r="44" spans="1:20" ht="15" customHeight="1">
      <c r="A44" s="114"/>
      <c r="B44" s="114"/>
      <c r="C44" s="796" t="s">
        <v>297</v>
      </c>
      <c r="D44" s="85" t="s">
        <v>35</v>
      </c>
      <c r="E44" s="336">
        <f>VLOOKUP("B_Interests_notes",calcdata,2,0)</f>
        <v>0</v>
      </c>
      <c r="F44" s="264"/>
      <c r="H44" s="266"/>
      <c r="I44" s="334" t="s">
        <v>775</v>
      </c>
      <c r="J44" s="334"/>
      <c r="K44" s="334"/>
      <c r="L44" s="265" t="s">
        <v>35</v>
      </c>
      <c r="M44" s="849">
        <f>VLOOKUP("Full_Redemption_B_F",calcdata,2,0)</f>
        <v>0</v>
      </c>
      <c r="N44" s="206"/>
      <c r="O44" s="206"/>
      <c r="P44" s="206"/>
      <c r="Q44" s="206"/>
      <c r="R44" s="206"/>
      <c r="S44" s="119"/>
      <c r="T44" s="119"/>
    </row>
    <row r="45" spans="1:20" ht="15" customHeight="1">
      <c r="A45" s="114"/>
      <c r="B45" s="114"/>
      <c r="C45" s="796" t="s">
        <v>298</v>
      </c>
      <c r="D45" s="85" t="s">
        <v>35</v>
      </c>
      <c r="E45" s="336">
        <f>VLOOKUP("C_Interests_notes",calcdata,2,0)</f>
        <v>0</v>
      </c>
      <c r="F45" s="264"/>
      <c r="H45" s="266"/>
      <c r="I45" s="334" t="s">
        <v>776</v>
      </c>
      <c r="J45" s="334"/>
      <c r="K45" s="334"/>
      <c r="L45" s="265" t="s">
        <v>35</v>
      </c>
      <c r="M45" s="849">
        <f>VLOOKUP("B_Full_Redemption",calcdata,2,0)</f>
        <v>0</v>
      </c>
      <c r="N45" s="206"/>
      <c r="O45" s="206"/>
      <c r="P45" s="206"/>
      <c r="Q45" s="206"/>
      <c r="R45" s="206"/>
      <c r="S45" s="119"/>
      <c r="T45" s="119"/>
    </row>
    <row r="46" spans="1:20" ht="15" customHeight="1">
      <c r="A46" s="114"/>
      <c r="B46" s="114"/>
      <c r="C46" s="796" t="s">
        <v>299</v>
      </c>
      <c r="D46" s="85" t="s">
        <v>35</v>
      </c>
      <c r="E46" s="336">
        <f>VLOOKUP("D_Interests_notes",calcdata,2,0)</f>
        <v>0</v>
      </c>
      <c r="F46" s="264"/>
      <c r="H46" s="266"/>
      <c r="I46" s="334" t="s">
        <v>777</v>
      </c>
      <c r="J46" s="334"/>
      <c r="K46" s="334"/>
      <c r="L46" s="265" t="s">
        <v>35</v>
      </c>
      <c r="M46" s="849">
        <f>VLOOKUP("C_Full_Redemption",calcdata,2,0)</f>
        <v>0</v>
      </c>
      <c r="N46" s="211"/>
      <c r="O46" s="211"/>
      <c r="P46" s="211"/>
      <c r="Q46" s="211"/>
      <c r="R46" s="211"/>
      <c r="S46" s="119"/>
      <c r="T46" s="119"/>
    </row>
    <row r="47" spans="1:20" ht="15" customHeight="1">
      <c r="A47" s="114"/>
      <c r="B47" s="114"/>
      <c r="C47" s="796" t="s">
        <v>300</v>
      </c>
      <c r="D47" s="85" t="s">
        <v>35</v>
      </c>
      <c r="E47" s="336">
        <f>VLOOKUP("E_Interests_notes",calcdata,2,0)</f>
        <v>0</v>
      </c>
      <c r="F47" s="264"/>
      <c r="H47" s="266"/>
      <c r="I47" s="334" t="s">
        <v>778</v>
      </c>
      <c r="J47" s="334"/>
      <c r="K47" s="334"/>
      <c r="L47" s="265" t="s">
        <v>35</v>
      </c>
      <c r="M47" s="849">
        <f>VLOOKUP("D_Full_Redemption",calcdata,2,0)</f>
        <v>0</v>
      </c>
      <c r="N47" s="211"/>
      <c r="O47" s="211"/>
      <c r="P47" s="211"/>
      <c r="Q47" s="211"/>
      <c r="R47" s="211"/>
      <c r="S47" s="119"/>
      <c r="T47" s="119"/>
    </row>
    <row r="48" spans="1:20" ht="15" customHeight="1">
      <c r="A48" s="114"/>
      <c r="B48" s="114"/>
      <c r="C48" s="796" t="s">
        <v>301</v>
      </c>
      <c r="D48" s="85" t="s">
        <v>35</v>
      </c>
      <c r="E48" s="336">
        <f>VLOOKUP("F_Interests_notes",calcdata,2,0)</f>
        <v>0</v>
      </c>
      <c r="F48" s="264"/>
      <c r="H48" s="266"/>
      <c r="I48" s="334" t="s">
        <v>779</v>
      </c>
      <c r="J48" s="334"/>
      <c r="K48" s="334"/>
      <c r="L48" s="265" t="s">
        <v>35</v>
      </c>
      <c r="M48" s="849">
        <f>VLOOKUP("E_Full_Redemption",calcdata,2,0)</f>
        <v>0</v>
      </c>
      <c r="N48" s="211"/>
      <c r="O48" s="211"/>
      <c r="P48" s="211"/>
      <c r="Q48" s="211"/>
      <c r="R48" s="211"/>
      <c r="S48" s="119"/>
      <c r="T48" s="119"/>
    </row>
    <row r="49" spans="1:20" ht="15" customHeight="1">
      <c r="A49" s="114"/>
      <c r="B49" s="114"/>
      <c r="C49" s="837" t="s">
        <v>704</v>
      </c>
      <c r="D49" s="85" t="s">
        <v>35</v>
      </c>
      <c r="E49" s="336">
        <f>VLOOKUP("F_Principal_Redemption_amount",calcdata,2,0)</f>
        <v>750000</v>
      </c>
      <c r="F49" s="264"/>
      <c r="H49" s="266"/>
      <c r="I49" s="18" t="s">
        <v>780</v>
      </c>
      <c r="J49" s="334"/>
      <c r="K49" s="334"/>
      <c r="L49" s="265" t="s">
        <v>35</v>
      </c>
      <c r="M49" s="849">
        <f>VLOOKUP("F_Full_Redemption",calcdata,2,0)</f>
        <v>0</v>
      </c>
      <c r="N49" s="211"/>
      <c r="O49" s="211"/>
      <c r="P49" s="211"/>
      <c r="Q49" s="211"/>
      <c r="R49" s="211"/>
      <c r="S49" s="119"/>
      <c r="T49" s="119"/>
    </row>
    <row r="50" spans="1:20" ht="15" customHeight="1">
      <c r="A50" s="114"/>
      <c r="B50" s="114"/>
      <c r="C50" s="837" t="s">
        <v>526</v>
      </c>
      <c r="D50" s="85" t="s">
        <v>35</v>
      </c>
      <c r="E50" s="336">
        <f>VLOOKUP("Mezzanine_loan_interests",calcdata,2,0)</f>
        <v>0</v>
      </c>
      <c r="F50" s="264"/>
      <c r="H50" s="266"/>
      <c r="I50" s="334" t="s">
        <v>383</v>
      </c>
      <c r="L50" s="265" t="s">
        <v>35</v>
      </c>
      <c r="M50" s="849">
        <f>VLOOKUP("Mezzanine_loan_principal",calcdata,2,0)</f>
        <v>0</v>
      </c>
      <c r="N50" s="211"/>
      <c r="O50" s="211"/>
      <c r="P50" s="211"/>
      <c r="Q50" s="211"/>
      <c r="R50" s="211"/>
      <c r="S50" s="119"/>
      <c r="T50" s="119"/>
    </row>
    <row r="51" spans="1:20" ht="15" customHeight="1" thickBot="1">
      <c r="A51" s="114"/>
      <c r="B51" s="114"/>
      <c r="C51" s="837" t="s">
        <v>513</v>
      </c>
      <c r="D51" s="85" t="s">
        <v>35</v>
      </c>
      <c r="E51" s="336">
        <f>VLOOKUP("Termination_payment",calcdata,2,0)</f>
        <v>0</v>
      </c>
      <c r="F51" s="264"/>
      <c r="H51" s="266"/>
      <c r="I51" s="18" t="s">
        <v>709</v>
      </c>
      <c r="L51" s="265" t="s">
        <v>35</v>
      </c>
      <c r="M51" s="850">
        <f>VLOOKUP("Clearing_rounding_differences",calcdata,2,0)</f>
        <v>28.93</v>
      </c>
      <c r="N51" s="211"/>
      <c r="O51" s="211"/>
      <c r="P51" s="211"/>
      <c r="Q51" s="211"/>
      <c r="R51" s="211"/>
      <c r="S51" s="119"/>
      <c r="T51" s="119"/>
    </row>
    <row r="52" spans="1:20" ht="15" customHeight="1" thickTop="1">
      <c r="A52" s="114"/>
      <c r="B52" s="114"/>
      <c r="C52" s="796" t="s">
        <v>514</v>
      </c>
      <c r="D52" s="85" t="s">
        <v>35</v>
      </c>
      <c r="E52" s="336">
        <f>VLOOKUP("Liqudity_Reserve_Interests",calcdata,2,0)</f>
        <v>16170.31</v>
      </c>
      <c r="F52" s="264"/>
      <c r="H52" s="266"/>
      <c r="I52" s="334" t="s">
        <v>517</v>
      </c>
      <c r="J52" s="334"/>
      <c r="K52" s="334"/>
      <c r="L52" s="265" t="s">
        <v>15</v>
      </c>
      <c r="M52" s="851">
        <f>VLOOKUP("Transaction_Account_remaining_amount",calcdata,2,0)</f>
        <v>0</v>
      </c>
      <c r="N52" s="211"/>
      <c r="O52" s="211"/>
      <c r="P52" s="211"/>
      <c r="Q52" s="211"/>
      <c r="R52" s="211"/>
      <c r="S52" s="119"/>
      <c r="T52" s="119"/>
    </row>
    <row r="53" spans="1:20" ht="15" customHeight="1">
      <c r="A53" s="114"/>
      <c r="B53" s="114"/>
      <c r="C53" s="796" t="s">
        <v>515</v>
      </c>
      <c r="D53" s="85" t="s">
        <v>35</v>
      </c>
      <c r="E53" s="336">
        <f>VLOOKUP("Liqudity_Reserve_Principal",calcdata,2,0)</f>
        <v>661868.92000000004</v>
      </c>
      <c r="F53" s="264"/>
      <c r="H53" s="266"/>
      <c r="N53" s="725"/>
      <c r="O53" s="211"/>
      <c r="P53" s="211"/>
      <c r="Q53" s="211"/>
      <c r="R53" s="211"/>
      <c r="S53" s="119"/>
      <c r="T53" s="119"/>
    </row>
    <row r="54" spans="1:20" ht="15" customHeight="1">
      <c r="A54" s="114"/>
      <c r="B54" s="114"/>
      <c r="C54" s="837" t="s">
        <v>748</v>
      </c>
      <c r="D54" s="85" t="s">
        <v>35</v>
      </c>
      <c r="E54" s="336">
        <f>VLOOKUP("Expenses_Advance_Loan_Interests",calcdata,2,0)</f>
        <v>0</v>
      </c>
      <c r="F54" s="264"/>
      <c r="G54" s="336"/>
      <c r="H54" s="266"/>
      <c r="N54" s="211"/>
      <c r="O54" s="211"/>
      <c r="P54" s="211"/>
      <c r="Q54" s="211"/>
      <c r="R54" s="211"/>
      <c r="S54" s="119"/>
      <c r="T54" s="119"/>
    </row>
    <row r="55" spans="1:20" ht="15" customHeight="1">
      <c r="A55" s="114"/>
      <c r="B55" s="114"/>
      <c r="C55" s="837" t="s">
        <v>767</v>
      </c>
      <c r="D55" s="85" t="s">
        <v>35</v>
      </c>
      <c r="E55" s="336">
        <f>VLOOKUP("Expenses_Advance_Loan_Principal",calcdata,2,0)</f>
        <v>0</v>
      </c>
      <c r="F55" s="264"/>
      <c r="H55" s="266"/>
      <c r="N55" s="211"/>
      <c r="O55" s="211"/>
      <c r="P55" s="211"/>
      <c r="Q55" s="211"/>
      <c r="R55" s="211"/>
      <c r="S55" s="119"/>
      <c r="T55" s="119"/>
    </row>
    <row r="56" spans="1:20" ht="15" customHeight="1" thickBot="1">
      <c r="A56" s="114"/>
      <c r="B56" s="114"/>
      <c r="C56" s="837" t="s">
        <v>773</v>
      </c>
      <c r="D56" s="85" t="s">
        <v>35</v>
      </c>
      <c r="E56" s="336">
        <f>VLOOKUP("Credit_Replacement_Servicer_Fee",calcdata,2,0)</f>
        <v>0</v>
      </c>
      <c r="F56" s="264"/>
      <c r="H56" s="266"/>
      <c r="N56" s="211"/>
      <c r="O56" s="211"/>
      <c r="P56" s="211"/>
      <c r="Q56" s="211"/>
      <c r="R56" s="211"/>
      <c r="S56" s="119"/>
      <c r="T56" s="119"/>
    </row>
    <row r="57" spans="1:20" ht="15" customHeight="1" thickTop="1">
      <c r="A57" s="114"/>
      <c r="B57" s="114"/>
      <c r="C57" s="796" t="s">
        <v>516</v>
      </c>
      <c r="D57" s="85" t="s">
        <v>15</v>
      </c>
      <c r="E57" s="335">
        <f>VLOOKUP("Remaining_amount_seller",calcdata,2,0)</f>
        <v>0</v>
      </c>
      <c r="F57" s="264"/>
      <c r="H57" s="266"/>
      <c r="N57" s="211"/>
      <c r="O57" s="211"/>
      <c r="P57" s="211"/>
      <c r="Q57" s="211"/>
      <c r="R57" s="211"/>
      <c r="S57" s="119"/>
      <c r="T57" s="119"/>
    </row>
    <row r="58" spans="1:20" ht="13.5" customHeight="1">
      <c r="A58" s="114"/>
      <c r="B58" s="114"/>
      <c r="C58" s="84"/>
      <c r="D58" s="85"/>
      <c r="E58" s="336"/>
      <c r="F58" s="325"/>
      <c r="H58" s="326"/>
      <c r="N58" s="211"/>
      <c r="O58" s="211"/>
      <c r="P58" s="211"/>
      <c r="Q58" s="211"/>
      <c r="R58" s="211"/>
      <c r="S58" s="119"/>
      <c r="T58" s="119"/>
    </row>
    <row r="59" spans="1:20" ht="13.5" customHeight="1">
      <c r="A59" s="114"/>
      <c r="B59" s="150"/>
      <c r="C59" s="26"/>
      <c r="D59" s="10"/>
      <c r="E59" s="51"/>
      <c r="F59" s="51"/>
      <c r="G59" s="51"/>
      <c r="H59" s="51"/>
      <c r="I59" s="51"/>
      <c r="J59" s="51"/>
      <c r="K59" s="51"/>
      <c r="L59" s="51"/>
      <c r="M59" s="51"/>
      <c r="N59" s="51"/>
      <c r="O59" s="51"/>
      <c r="P59" s="51"/>
      <c r="Q59" s="51"/>
      <c r="R59" s="51"/>
      <c r="S59" s="152"/>
      <c r="T59" s="119"/>
    </row>
    <row r="60" spans="1:20" ht="18" customHeight="1">
      <c r="A60" s="114"/>
      <c r="C60" s="82"/>
      <c r="D60" s="83"/>
      <c r="E60" s="44"/>
      <c r="F60" s="44"/>
      <c r="G60" s="44"/>
      <c r="H60" s="44"/>
      <c r="I60" s="44"/>
      <c r="J60" s="44"/>
      <c r="K60" s="44"/>
      <c r="L60" s="44"/>
      <c r="M60" s="44"/>
      <c r="N60" s="44"/>
      <c r="O60" s="44"/>
      <c r="P60" s="44"/>
      <c r="Q60" s="44"/>
      <c r="R60" s="44"/>
      <c r="S60" s="44"/>
      <c r="T60" s="119"/>
    </row>
    <row r="61" spans="1:20" ht="13.5" customHeight="1">
      <c r="A61" s="114"/>
      <c r="C61" s="13"/>
      <c r="D61" s="12"/>
      <c r="T61" s="119"/>
    </row>
    <row r="62" spans="1:20" ht="12.75" customHeight="1">
      <c r="A62" s="114"/>
      <c r="C62" s="42" t="s">
        <v>86</v>
      </c>
      <c r="D62" s="90" t="s">
        <v>36</v>
      </c>
      <c r="E62" s="43" t="s">
        <v>5</v>
      </c>
      <c r="F62" s="43"/>
      <c r="G62" s="43" t="s">
        <v>6</v>
      </c>
      <c r="H62" s="43"/>
      <c r="I62" s="43" t="s">
        <v>181</v>
      </c>
      <c r="J62" s="43"/>
      <c r="K62" s="43" t="s">
        <v>182</v>
      </c>
      <c r="L62" s="43"/>
      <c r="M62" s="43" t="s">
        <v>183</v>
      </c>
      <c r="N62" s="43"/>
      <c r="O62" s="43" t="s">
        <v>226</v>
      </c>
      <c r="P62" s="43"/>
      <c r="R62" s="43" t="s">
        <v>306</v>
      </c>
      <c r="S62" s="43"/>
      <c r="T62" s="119"/>
    </row>
    <row r="63" spans="1:20" ht="13.5" customHeight="1">
      <c r="A63" s="114"/>
      <c r="B63" s="112"/>
      <c r="C63" s="44" t="s">
        <v>79</v>
      </c>
      <c r="D63" s="47">
        <f>E33</f>
        <v>15.55</v>
      </c>
      <c r="E63" s="45"/>
      <c r="F63" s="45"/>
      <c r="G63" s="45"/>
      <c r="H63" s="46"/>
      <c r="I63" s="45"/>
      <c r="J63" s="46"/>
      <c r="K63" s="45"/>
      <c r="L63" s="46"/>
      <c r="M63" s="45"/>
      <c r="N63" s="45"/>
      <c r="O63" s="45"/>
      <c r="P63" s="45"/>
      <c r="Q63" s="45"/>
      <c r="R63" s="45"/>
      <c r="S63" s="345"/>
      <c r="T63" s="119"/>
    </row>
    <row r="64" spans="1:20" ht="13.5" customHeight="1">
      <c r="A64" s="114"/>
      <c r="B64" s="114"/>
      <c r="C64" s="18" t="s">
        <v>87</v>
      </c>
      <c r="D64" s="47">
        <f t="shared" ref="D64:D70" si="0">SUM(E64:R64)</f>
        <v>2836430.56</v>
      </c>
      <c r="E64" s="47">
        <f>VLOOKUP("A_Interests_accrued",calcdata,2,0)</f>
        <v>2046379.05</v>
      </c>
      <c r="F64" s="48"/>
      <c r="G64" s="47">
        <f>VLOOKUP("B_Interests_accrued",calcdata,2,0)</f>
        <v>213998.4</v>
      </c>
      <c r="H64" s="49"/>
      <c r="I64" s="47">
        <f>VLOOKUP("C_Interests_accrued",calcdata,2,0)</f>
        <v>219507.6</v>
      </c>
      <c r="J64" s="49"/>
      <c r="K64" s="47">
        <f>VLOOKUP("D_Interests_accrued",calcdata,2,0)</f>
        <v>110889.9</v>
      </c>
      <c r="L64" s="49"/>
      <c r="M64" s="47">
        <f>VLOOKUP("E_Interests_accrued",calcdata,2,0)</f>
        <v>189489.3</v>
      </c>
      <c r="N64" s="47"/>
      <c r="O64" s="47">
        <f>VLOOKUP("F_Interests_accrued",calcdata,2,0)</f>
        <v>39996</v>
      </c>
      <c r="P64" s="47"/>
      <c r="Q64" s="47">
        <f>VLOOKUP("Reserve_Interests_accrued",calcdata,2,0)</f>
        <v>16170.31</v>
      </c>
      <c r="R64" s="47"/>
      <c r="S64" s="346"/>
      <c r="T64" s="119"/>
    </row>
    <row r="65" spans="1:20" ht="13.5" customHeight="1">
      <c r="A65" s="114"/>
      <c r="B65" s="114"/>
      <c r="C65" s="18" t="s">
        <v>88</v>
      </c>
      <c r="D65" s="47">
        <f t="shared" si="0"/>
        <v>69721175.149999991</v>
      </c>
      <c r="E65" s="47">
        <f>VLOOKUP("A_Interests_accrued_cum",calcdata,2,0)</f>
        <v>54157308.75</v>
      </c>
      <c r="F65" s="48"/>
      <c r="G65" s="47">
        <f>VLOOKUP("B_Interests_accrued_cum",calcdata,2,0)</f>
        <v>4277473.2</v>
      </c>
      <c r="H65" s="49"/>
      <c r="I65" s="47">
        <f>VLOOKUP("C_Interests_accrued_cum",calcdata,2,0)</f>
        <v>4283939.4000000004</v>
      </c>
      <c r="J65" s="49"/>
      <c r="K65" s="47">
        <f>VLOOKUP("D_Interests_accrued_cum",calcdata,2,0)</f>
        <v>2101819.35</v>
      </c>
      <c r="L65" s="49"/>
      <c r="M65" s="47">
        <f>VLOOKUP("E_Interests_accrued_cum",calcdata,2,0)</f>
        <v>3337971</v>
      </c>
      <c r="N65" s="47"/>
      <c r="O65" s="47">
        <f>VLOOKUP("F_Interests_accrued_cum",calcdata,2,0)</f>
        <v>1277994.6000000001</v>
      </c>
      <c r="P65" s="47"/>
      <c r="Q65" s="47">
        <f>VLOOKUP("Reserve_Interests_accrued_cum",calcdata,2,0)</f>
        <v>284668.84999999998</v>
      </c>
      <c r="R65" s="47"/>
      <c r="S65" s="346"/>
      <c r="T65" s="119"/>
    </row>
    <row r="66" spans="1:20" ht="13.5" customHeight="1">
      <c r="A66" s="114"/>
      <c r="B66" s="114"/>
      <c r="C66" s="18" t="s">
        <v>89</v>
      </c>
      <c r="D66" s="47">
        <f t="shared" si="0"/>
        <v>2836430.56</v>
      </c>
      <c r="E66" s="47">
        <f>VLOOKUP("A_Interest_Payments",calcdata,2,0)</f>
        <v>2046379.05</v>
      </c>
      <c r="F66" s="48"/>
      <c r="G66" s="47">
        <f>VLOOKUP("B_Interest_Payments",calcdata,2,0)</f>
        <v>213998.4</v>
      </c>
      <c r="H66" s="50"/>
      <c r="I66" s="47">
        <f>VLOOKUP("C_Interest_Payments",calcdata,2,0)</f>
        <v>219507.6</v>
      </c>
      <c r="J66" s="50"/>
      <c r="K66" s="47">
        <f>VLOOKUP("D_Interest_Payments",calcdata,2,0)</f>
        <v>110889.9</v>
      </c>
      <c r="L66" s="50"/>
      <c r="M66" s="47">
        <f>VLOOKUP("E_Interest_Payments",calcdata,2,0)</f>
        <v>189489.3</v>
      </c>
      <c r="N66" s="47"/>
      <c r="O66" s="47">
        <f>VLOOKUP("F_Interest_Payments",calcdata,2,0)</f>
        <v>39996</v>
      </c>
      <c r="P66" s="47"/>
      <c r="Q66" s="47">
        <f>VLOOKUP("Reserve_Interest_Payments",calcdata,2,0)</f>
        <v>16170.31</v>
      </c>
      <c r="R66" s="47"/>
      <c r="S66" s="347"/>
      <c r="T66" s="119"/>
    </row>
    <row r="67" spans="1:20" ht="13.5" customHeight="1">
      <c r="A67" s="114"/>
      <c r="B67" s="114"/>
      <c r="C67" s="18" t="s">
        <v>90</v>
      </c>
      <c r="D67" s="47">
        <f t="shared" si="0"/>
        <v>69721175.149999991</v>
      </c>
      <c r="E67" s="47">
        <f>VLOOKUP("A_Interest_Payments_cum",calcdata,2,0)</f>
        <v>54157308.75</v>
      </c>
      <c r="F67" s="48"/>
      <c r="G67" s="47">
        <f>VLOOKUP("B_Interest_Payments_cum",calcdata,2,0)</f>
        <v>4277473.2</v>
      </c>
      <c r="H67" s="50"/>
      <c r="I67" s="47">
        <f>VLOOKUP("C_Interest_Payments_cum",calcdata,2,0)</f>
        <v>4283939.4000000004</v>
      </c>
      <c r="J67" s="50"/>
      <c r="K67" s="47">
        <f>VLOOKUP("D_Interest_Payments_cum",calcdata,2,0)</f>
        <v>2101819.35</v>
      </c>
      <c r="L67" s="50"/>
      <c r="M67" s="47">
        <f>VLOOKUP("E_Interest_Payments_cum",calcdata,2,0)</f>
        <v>3337971</v>
      </c>
      <c r="N67" s="47"/>
      <c r="O67" s="47">
        <f>VLOOKUP("F_Interest_Payments_cum",calcdata,2,0)</f>
        <v>1277994.6000000001</v>
      </c>
      <c r="P67" s="47"/>
      <c r="Q67" s="47">
        <f>VLOOKUP("Reserve_Interest_Payments_cum",calcdata,2,0)</f>
        <v>284668.84999999998</v>
      </c>
      <c r="R67" s="47"/>
      <c r="S67" s="347"/>
      <c r="T67" s="119"/>
    </row>
    <row r="68" spans="1:20" ht="13.5" customHeight="1">
      <c r="A68" s="114"/>
      <c r="B68" s="114"/>
      <c r="C68" s="18" t="s">
        <v>91</v>
      </c>
      <c r="D68" s="47">
        <f t="shared" si="0"/>
        <v>0</v>
      </c>
      <c r="E68" s="47">
        <f>VLOOKUP("A_Interests_unpaid",calcdata,2,0)</f>
        <v>0</v>
      </c>
      <c r="F68" s="48"/>
      <c r="G68" s="47">
        <f>VLOOKUP("B_Interests_unpaid",calcdata,2,0)</f>
        <v>0</v>
      </c>
      <c r="H68" s="50"/>
      <c r="I68" s="47">
        <f>VLOOKUP("C_Interests_unpaid",calcdata,2,0)</f>
        <v>0</v>
      </c>
      <c r="J68" s="50"/>
      <c r="K68" s="47">
        <f>VLOOKUP("D_Interests_unpaid",calcdata,2,0)</f>
        <v>0</v>
      </c>
      <c r="L68" s="50"/>
      <c r="M68" s="47">
        <f>VLOOKUP("E_Interests_unpaid",calcdata,2,0)</f>
        <v>0</v>
      </c>
      <c r="N68" s="47"/>
      <c r="O68" s="47">
        <f>VLOOKUP("F_Interests_unpaid",calcdata,2,0)</f>
        <v>0</v>
      </c>
      <c r="P68" s="47"/>
      <c r="Q68" s="47">
        <f>VLOOKUP("Reserve_Interests_unpaid",calcdata,2,0)</f>
        <v>0</v>
      </c>
      <c r="R68" s="47"/>
      <c r="S68" s="347"/>
      <c r="T68" s="119"/>
    </row>
    <row r="69" spans="1:20" ht="13.5" customHeight="1">
      <c r="A69" s="114"/>
      <c r="B69" s="114"/>
      <c r="C69" s="18" t="s">
        <v>92</v>
      </c>
      <c r="D69" s="47">
        <f t="shared" si="0"/>
        <v>0</v>
      </c>
      <c r="E69" s="47">
        <f>VLOOKUP("A_Interests_unpaid_cum",calcdata,2,0)</f>
        <v>0</v>
      </c>
      <c r="F69" s="48"/>
      <c r="G69" s="47">
        <f>VLOOKUP("B_Interests_unpaid_cum",calcdata,2,0)</f>
        <v>0</v>
      </c>
      <c r="H69" s="50"/>
      <c r="I69" s="47">
        <f>VLOOKUP("C_Interests_unpaid_cum",calcdata,2,0)</f>
        <v>0</v>
      </c>
      <c r="J69" s="50"/>
      <c r="K69" s="47">
        <f>VLOOKUP("D_Interests_unpaid_cum",calcdata,2,0)</f>
        <v>0</v>
      </c>
      <c r="L69" s="50"/>
      <c r="M69" s="47">
        <f>VLOOKUP("E_Interests_unpaid_cum",calcdata,2,0)</f>
        <v>0</v>
      </c>
      <c r="N69" s="47"/>
      <c r="O69" s="47">
        <f>VLOOKUP("F_Interests_unpaid_cum",calcdata,2,0)</f>
        <v>0</v>
      </c>
      <c r="P69" s="47"/>
      <c r="Q69" s="47">
        <f>VLOOKUP("Reserve_Interests_unpaid_cum",calcdata,2,0)</f>
        <v>0</v>
      </c>
      <c r="R69" s="47"/>
      <c r="S69" s="347"/>
      <c r="T69" s="119"/>
    </row>
    <row r="70" spans="1:20" ht="13.5" customHeight="1">
      <c r="A70" s="114"/>
      <c r="B70" s="150"/>
      <c r="C70" s="51" t="s">
        <v>307</v>
      </c>
      <c r="D70" s="52">
        <f t="shared" si="0"/>
        <v>17529730.710000001</v>
      </c>
      <c r="E70" s="52"/>
      <c r="F70" s="53"/>
      <c r="G70" s="52"/>
      <c r="H70" s="54"/>
      <c r="I70" s="52"/>
      <c r="J70" s="54"/>
      <c r="K70" s="52"/>
      <c r="L70" s="54"/>
      <c r="M70" s="52"/>
      <c r="N70" s="52"/>
      <c r="O70" s="52"/>
      <c r="P70" s="52"/>
      <c r="Q70" s="52">
        <f>VLOOKUP("Reserve_outstanding",calcdata,2,0)</f>
        <v>17529730.710000001</v>
      </c>
      <c r="R70" s="52"/>
      <c r="S70" s="348"/>
      <c r="T70" s="119"/>
    </row>
    <row r="71" spans="1:20">
      <c r="A71" s="114"/>
      <c r="C71" s="13"/>
      <c r="D71" s="12"/>
      <c r="E71" s="184"/>
      <c r="F71" s="12"/>
      <c r="G71" s="185"/>
      <c r="H71" s="186"/>
      <c r="I71" s="185"/>
      <c r="J71" s="185"/>
      <c r="K71" s="185"/>
      <c r="L71" s="185"/>
      <c r="M71" s="111"/>
      <c r="N71" s="111"/>
      <c r="O71" s="111"/>
      <c r="P71" s="111"/>
      <c r="Q71" s="111"/>
      <c r="T71" s="119"/>
    </row>
    <row r="72" spans="1:20">
      <c r="A72" s="150"/>
      <c r="B72" s="51"/>
      <c r="C72" s="26"/>
      <c r="D72" s="10"/>
      <c r="E72" s="312"/>
      <c r="F72" s="10"/>
      <c r="G72" s="290"/>
      <c r="H72" s="313"/>
      <c r="I72" s="290"/>
      <c r="J72" s="290"/>
      <c r="K72" s="290"/>
      <c r="L72" s="290"/>
      <c r="M72" s="349"/>
      <c r="N72" s="349"/>
      <c r="O72" s="349"/>
      <c r="P72" s="349"/>
      <c r="Q72" s="349"/>
      <c r="R72" s="51"/>
      <c r="S72" s="51"/>
      <c r="T72" s="152"/>
    </row>
    <row r="73" spans="1:20" ht="15" customHeight="1">
      <c r="C73" s="13"/>
      <c r="D73" s="12"/>
      <c r="E73" s="184"/>
      <c r="F73" s="12"/>
      <c r="G73" s="185"/>
      <c r="H73" s="186"/>
      <c r="I73" s="185"/>
      <c r="J73" s="185"/>
      <c r="K73" s="185"/>
      <c r="L73" s="185"/>
      <c r="M73" s="111"/>
      <c r="N73" s="111"/>
      <c r="O73" s="111"/>
      <c r="P73" s="111"/>
      <c r="Q73" s="111"/>
    </row>
    <row r="74" spans="1:20">
      <c r="C74" s="13"/>
      <c r="D74" s="12"/>
      <c r="E74" s="184"/>
      <c r="F74" s="12"/>
      <c r="G74" s="185"/>
      <c r="H74" s="186"/>
      <c r="I74" s="185"/>
      <c r="J74" s="185"/>
      <c r="K74" s="185"/>
      <c r="L74" s="185"/>
      <c r="M74" s="111"/>
      <c r="N74" s="111"/>
      <c r="O74" s="111"/>
      <c r="P74" s="111"/>
      <c r="Q74" s="111"/>
    </row>
    <row r="75" spans="1:20">
      <c r="C75" s="13"/>
      <c r="D75" s="12"/>
      <c r="E75" s="184"/>
      <c r="F75" s="12"/>
      <c r="G75" s="185"/>
      <c r="H75" s="186"/>
      <c r="I75" s="185"/>
      <c r="J75" s="185"/>
      <c r="K75" s="185"/>
      <c r="L75" s="185"/>
      <c r="M75" s="111"/>
      <c r="N75" s="111"/>
      <c r="O75" s="111"/>
      <c r="P75" s="111"/>
      <c r="Q75" s="111"/>
    </row>
    <row r="76" spans="1:20">
      <c r="C76" s="13"/>
      <c r="D76" s="12"/>
      <c r="E76" s="184"/>
      <c r="F76" s="12"/>
      <c r="G76" s="185"/>
      <c r="H76" s="186"/>
      <c r="I76" s="185"/>
      <c r="J76" s="185"/>
      <c r="K76" s="185"/>
      <c r="L76" s="185"/>
      <c r="M76" s="111"/>
      <c r="N76" s="111"/>
      <c r="O76" s="111"/>
      <c r="P76" s="111"/>
      <c r="Q76" s="111"/>
    </row>
    <row r="77" spans="1:20">
      <c r="C77" s="13"/>
      <c r="D77" s="12"/>
      <c r="E77" s="184"/>
      <c r="F77" s="12"/>
      <c r="G77" s="185"/>
      <c r="H77" s="186"/>
      <c r="I77" s="185"/>
      <c r="J77" s="185"/>
      <c r="K77" s="185"/>
      <c r="L77" s="185"/>
      <c r="M77" s="111"/>
      <c r="N77" s="111"/>
      <c r="O77" s="111"/>
      <c r="P77" s="111"/>
      <c r="Q77" s="111"/>
    </row>
    <row r="78" spans="1:20">
      <c r="C78" s="13"/>
      <c r="D78" s="12"/>
      <c r="E78" s="184"/>
      <c r="F78" s="12"/>
      <c r="G78" s="185"/>
      <c r="H78" s="186"/>
      <c r="I78" s="185"/>
      <c r="J78" s="185"/>
      <c r="K78" s="185"/>
      <c r="L78" s="185"/>
      <c r="M78" s="111"/>
      <c r="N78" s="111"/>
      <c r="O78" s="111"/>
      <c r="P78" s="111"/>
      <c r="Q78" s="111"/>
    </row>
    <row r="79" spans="1:20">
      <c r="C79" s="13"/>
      <c r="D79" s="12"/>
      <c r="E79" s="184"/>
      <c r="F79" s="12"/>
      <c r="G79" s="185"/>
      <c r="H79" s="186"/>
      <c r="I79" s="185"/>
      <c r="J79" s="185"/>
      <c r="K79" s="185"/>
      <c r="L79" s="185"/>
      <c r="M79" s="111"/>
      <c r="N79" s="111"/>
      <c r="O79" s="111"/>
      <c r="P79" s="111"/>
      <c r="Q79" s="111"/>
    </row>
    <row r="80" spans="1:20">
      <c r="C80" s="13"/>
      <c r="D80" s="12"/>
      <c r="E80" s="184"/>
      <c r="F80" s="12"/>
      <c r="G80" s="185"/>
      <c r="H80" s="186"/>
      <c r="I80" s="185"/>
      <c r="J80" s="185"/>
      <c r="K80" s="185"/>
      <c r="L80" s="185"/>
      <c r="M80" s="111"/>
      <c r="N80" s="111"/>
      <c r="O80" s="111"/>
      <c r="P80" s="111"/>
      <c r="Q80" s="111"/>
    </row>
    <row r="81" spans="3:17">
      <c r="C81" s="13"/>
      <c r="D81" s="12"/>
      <c r="E81" s="184"/>
      <c r="F81" s="12"/>
      <c r="G81" s="185"/>
      <c r="H81" s="186"/>
      <c r="I81" s="185"/>
      <c r="J81" s="185"/>
      <c r="K81" s="185"/>
      <c r="L81" s="185"/>
      <c r="M81" s="111"/>
      <c r="N81" s="111"/>
      <c r="O81" s="111"/>
      <c r="P81" s="111"/>
      <c r="Q81" s="111"/>
    </row>
    <row r="82" spans="3:17">
      <c r="C82" s="13"/>
      <c r="D82" s="12"/>
      <c r="E82" s="184"/>
      <c r="F82" s="12"/>
      <c r="G82" s="185"/>
      <c r="H82" s="186"/>
      <c r="I82" s="185"/>
      <c r="J82" s="185"/>
      <c r="K82" s="185"/>
      <c r="L82" s="185"/>
      <c r="M82" s="111"/>
      <c r="N82" s="111"/>
      <c r="O82" s="111"/>
      <c r="P82" s="111"/>
      <c r="Q82" s="111"/>
    </row>
    <row r="83" spans="3:17">
      <c r="C83" s="13"/>
      <c r="D83" s="12"/>
      <c r="E83" s="184"/>
      <c r="F83" s="12"/>
      <c r="G83" s="185"/>
      <c r="H83" s="186"/>
      <c r="I83" s="185"/>
      <c r="J83" s="185"/>
      <c r="K83" s="185"/>
      <c r="L83" s="185"/>
      <c r="M83" s="111"/>
      <c r="N83" s="111"/>
      <c r="O83" s="111"/>
      <c r="P83" s="111"/>
      <c r="Q83" s="111"/>
    </row>
    <row r="84" spans="3:17">
      <c r="C84" s="13"/>
      <c r="D84" s="12"/>
      <c r="E84" s="184"/>
      <c r="F84" s="12"/>
      <c r="G84" s="185"/>
      <c r="H84" s="186"/>
      <c r="I84" s="185"/>
      <c r="J84" s="185"/>
      <c r="K84" s="185"/>
      <c r="L84" s="185"/>
      <c r="M84" s="111"/>
      <c r="N84" s="111"/>
      <c r="O84" s="111"/>
      <c r="P84" s="111"/>
      <c r="Q84" s="111"/>
    </row>
    <row r="85" spans="3:17">
      <c r="C85" s="13"/>
      <c r="D85" s="12"/>
      <c r="E85" s="184"/>
      <c r="F85" s="12"/>
      <c r="G85" s="185"/>
      <c r="H85" s="186"/>
      <c r="I85" s="185"/>
      <c r="J85" s="185"/>
      <c r="K85" s="185"/>
      <c r="L85" s="185"/>
      <c r="M85" s="111"/>
      <c r="N85" s="111"/>
      <c r="O85" s="111"/>
      <c r="P85" s="111"/>
      <c r="Q85" s="111"/>
    </row>
    <row r="86" spans="3:17">
      <c r="C86" s="13"/>
      <c r="D86" s="12"/>
      <c r="E86" s="184"/>
      <c r="F86" s="12"/>
      <c r="G86" s="185"/>
      <c r="H86" s="186"/>
      <c r="I86" s="185"/>
      <c r="J86" s="185"/>
      <c r="K86" s="185"/>
      <c r="L86" s="185"/>
      <c r="M86" s="111"/>
      <c r="N86" s="111"/>
      <c r="O86" s="111"/>
      <c r="P86" s="111"/>
      <c r="Q86" s="111"/>
    </row>
    <row r="87" spans="3:17">
      <c r="C87" s="13"/>
      <c r="D87" s="12"/>
      <c r="E87" s="184"/>
      <c r="F87" s="12"/>
      <c r="G87" s="185"/>
      <c r="H87" s="186"/>
      <c r="I87" s="185"/>
      <c r="J87" s="185"/>
      <c r="K87" s="185"/>
      <c r="L87" s="185"/>
      <c r="M87" s="111"/>
      <c r="N87" s="111"/>
      <c r="O87" s="111"/>
      <c r="P87" s="111"/>
      <c r="Q87" s="111"/>
    </row>
    <row r="88" spans="3:17">
      <c r="C88" s="13"/>
      <c r="D88" s="12"/>
      <c r="E88" s="184"/>
      <c r="F88" s="12"/>
      <c r="G88" s="185"/>
      <c r="H88" s="186"/>
      <c r="I88" s="185"/>
      <c r="J88" s="185"/>
      <c r="K88" s="185"/>
      <c r="L88" s="185"/>
      <c r="M88" s="111"/>
      <c r="N88" s="111"/>
      <c r="O88" s="111"/>
      <c r="P88" s="111"/>
      <c r="Q88" s="111"/>
    </row>
    <row r="89" spans="3:17">
      <c r="C89" s="13"/>
      <c r="D89" s="12"/>
      <c r="E89" s="184"/>
      <c r="F89" s="12"/>
      <c r="G89" s="185"/>
      <c r="H89" s="186"/>
      <c r="I89" s="185"/>
      <c r="J89" s="185"/>
      <c r="K89" s="185"/>
      <c r="L89" s="185"/>
      <c r="M89" s="111"/>
      <c r="N89" s="111"/>
      <c r="O89" s="111"/>
      <c r="P89" s="111"/>
      <c r="Q89" s="111"/>
    </row>
    <row r="90" spans="3:17">
      <c r="C90" s="13"/>
      <c r="D90" s="12"/>
      <c r="E90" s="184"/>
      <c r="F90" s="12"/>
      <c r="G90" s="185"/>
      <c r="H90" s="186"/>
      <c r="I90" s="185"/>
      <c r="J90" s="185"/>
      <c r="K90" s="185"/>
      <c r="L90" s="185"/>
      <c r="M90" s="111"/>
      <c r="N90" s="111"/>
      <c r="O90" s="111"/>
      <c r="P90" s="111"/>
      <c r="Q90" s="111"/>
    </row>
    <row r="91" spans="3:17">
      <c r="C91" s="13"/>
      <c r="D91" s="12"/>
      <c r="E91" s="184"/>
      <c r="F91" s="12"/>
      <c r="G91" s="185"/>
      <c r="H91" s="186"/>
      <c r="I91" s="185"/>
      <c r="J91" s="185"/>
      <c r="K91" s="185"/>
      <c r="L91" s="185"/>
      <c r="M91" s="111"/>
      <c r="N91" s="111"/>
      <c r="O91" s="111"/>
      <c r="P91" s="111"/>
      <c r="Q91" s="111"/>
    </row>
    <row r="92" spans="3:17">
      <c r="C92" s="13"/>
      <c r="D92" s="12"/>
      <c r="E92" s="184"/>
      <c r="F92" s="12"/>
      <c r="G92" s="185"/>
      <c r="H92" s="186"/>
      <c r="I92" s="185"/>
      <c r="J92" s="185"/>
      <c r="K92" s="185"/>
      <c r="L92" s="185"/>
      <c r="M92" s="111"/>
      <c r="N92" s="111"/>
      <c r="O92" s="111"/>
      <c r="P92" s="111"/>
      <c r="Q92" s="111"/>
    </row>
    <row r="93" spans="3:17">
      <c r="C93" s="13"/>
      <c r="D93" s="12"/>
      <c r="E93" s="184"/>
      <c r="F93" s="12"/>
      <c r="G93" s="185"/>
      <c r="H93" s="186"/>
      <c r="I93" s="185"/>
      <c r="J93" s="185"/>
      <c r="K93" s="185"/>
      <c r="L93" s="185"/>
      <c r="M93" s="111"/>
      <c r="N93" s="111"/>
      <c r="O93" s="111"/>
      <c r="P93" s="111"/>
      <c r="Q93" s="111"/>
    </row>
    <row r="94" spans="3:17">
      <c r="C94" s="13"/>
      <c r="D94" s="12"/>
      <c r="E94" s="184"/>
      <c r="F94" s="12"/>
      <c r="G94" s="185"/>
      <c r="H94" s="186"/>
      <c r="I94" s="185"/>
      <c r="J94" s="185"/>
      <c r="K94" s="185"/>
      <c r="L94" s="185"/>
      <c r="M94" s="111"/>
      <c r="N94" s="111"/>
      <c r="O94" s="111"/>
      <c r="P94" s="111"/>
      <c r="Q94" s="111"/>
    </row>
    <row r="95" spans="3:17">
      <c r="C95" s="13"/>
      <c r="D95" s="12"/>
      <c r="E95" s="184"/>
      <c r="F95" s="12"/>
      <c r="G95" s="185"/>
      <c r="H95" s="186"/>
      <c r="I95" s="185"/>
      <c r="J95" s="185"/>
      <c r="K95" s="185"/>
      <c r="L95" s="185"/>
      <c r="M95" s="111"/>
      <c r="N95" s="111"/>
      <c r="O95" s="111"/>
      <c r="P95" s="111"/>
      <c r="Q95" s="111"/>
    </row>
    <row r="96" spans="3:17">
      <c r="C96" s="13"/>
      <c r="D96" s="12"/>
      <c r="E96" s="184"/>
      <c r="F96" s="12"/>
      <c r="G96" s="185"/>
      <c r="H96" s="186"/>
      <c r="I96" s="185"/>
      <c r="J96" s="185"/>
      <c r="K96" s="185"/>
      <c r="L96" s="185"/>
      <c r="M96" s="111"/>
      <c r="N96" s="111"/>
      <c r="O96" s="111"/>
      <c r="P96" s="111"/>
      <c r="Q96" s="111"/>
    </row>
    <row r="97" spans="3:17">
      <c r="C97" s="13"/>
      <c r="D97" s="12"/>
      <c r="E97" s="184"/>
      <c r="F97" s="12"/>
      <c r="G97" s="185"/>
      <c r="H97" s="186"/>
      <c r="I97" s="185"/>
      <c r="J97" s="185"/>
      <c r="K97" s="185"/>
      <c r="L97" s="185"/>
      <c r="M97" s="111"/>
      <c r="N97" s="111"/>
      <c r="O97" s="111"/>
      <c r="P97" s="111"/>
      <c r="Q97" s="111"/>
    </row>
    <row r="98" spans="3:17">
      <c r="C98" s="13"/>
      <c r="D98" s="12"/>
      <c r="E98" s="184"/>
      <c r="F98" s="12"/>
      <c r="G98" s="185"/>
      <c r="H98" s="186"/>
      <c r="I98" s="185"/>
      <c r="J98" s="185"/>
      <c r="K98" s="185"/>
      <c r="L98" s="185"/>
      <c r="M98" s="111"/>
      <c r="N98" s="111"/>
      <c r="O98" s="111"/>
      <c r="P98" s="111"/>
      <c r="Q98" s="111"/>
    </row>
    <row r="99" spans="3:17">
      <c r="C99" s="13"/>
      <c r="D99" s="12"/>
      <c r="E99" s="184"/>
      <c r="F99" s="12"/>
      <c r="G99" s="185"/>
      <c r="H99" s="186"/>
      <c r="I99" s="185"/>
      <c r="J99" s="185"/>
      <c r="K99" s="185"/>
      <c r="L99" s="185"/>
      <c r="M99" s="111"/>
      <c r="N99" s="111"/>
      <c r="O99" s="111"/>
      <c r="P99" s="111"/>
      <c r="Q99" s="111"/>
    </row>
    <row r="100" spans="3:17">
      <c r="C100" s="13"/>
      <c r="D100" s="12"/>
      <c r="E100" s="184"/>
      <c r="F100" s="12"/>
      <c r="G100" s="185"/>
      <c r="H100" s="186"/>
      <c r="I100" s="185"/>
      <c r="J100" s="185"/>
      <c r="K100" s="185"/>
      <c r="L100" s="185"/>
      <c r="M100" s="111"/>
      <c r="N100" s="111"/>
      <c r="O100" s="111"/>
      <c r="P100" s="111"/>
      <c r="Q100" s="111"/>
    </row>
    <row r="101" spans="3:17">
      <c r="C101" s="13"/>
      <c r="D101" s="12"/>
      <c r="E101" s="184"/>
      <c r="F101" s="12"/>
      <c r="G101" s="185"/>
      <c r="H101" s="186"/>
      <c r="I101" s="185"/>
      <c r="J101" s="185"/>
      <c r="K101" s="185"/>
      <c r="L101" s="185"/>
      <c r="M101" s="111"/>
      <c r="N101" s="111"/>
      <c r="O101" s="111"/>
      <c r="P101" s="111"/>
      <c r="Q101" s="111"/>
    </row>
    <row r="102" spans="3:17">
      <c r="C102" s="13"/>
      <c r="D102" s="12"/>
      <c r="E102" s="184"/>
      <c r="F102" s="12"/>
      <c r="G102" s="185"/>
      <c r="H102" s="186"/>
      <c r="I102" s="185"/>
      <c r="J102" s="185"/>
      <c r="K102" s="185"/>
      <c r="L102" s="185"/>
      <c r="M102" s="111"/>
      <c r="N102" s="111"/>
      <c r="O102" s="111"/>
      <c r="P102" s="111"/>
      <c r="Q102" s="111"/>
    </row>
    <row r="103" spans="3:17">
      <c r="C103" s="13"/>
      <c r="D103" s="12"/>
      <c r="E103" s="187"/>
      <c r="F103" s="188"/>
      <c r="G103" s="219"/>
      <c r="H103" s="190"/>
      <c r="I103" s="219"/>
      <c r="J103" s="219"/>
      <c r="K103" s="219"/>
      <c r="L103" s="219"/>
      <c r="M103" s="111"/>
      <c r="N103" s="111"/>
      <c r="O103" s="111"/>
      <c r="P103" s="111"/>
      <c r="Q103" s="111"/>
    </row>
    <row r="104" spans="3:17">
      <c r="C104" s="13"/>
      <c r="D104" s="12"/>
      <c r="E104" s="187"/>
      <c r="F104" s="187"/>
      <c r="G104" s="187"/>
      <c r="H104" s="187"/>
      <c r="I104" s="187"/>
      <c r="J104" s="187"/>
      <c r="K104" s="187"/>
      <c r="L104" s="187"/>
      <c r="M104" s="111"/>
      <c r="N104" s="111"/>
      <c r="O104" s="111"/>
      <c r="P104" s="111"/>
      <c r="Q104" s="111"/>
    </row>
    <row r="105" spans="3:17">
      <c r="C105" s="13"/>
      <c r="D105" s="12"/>
      <c r="E105" s="187"/>
      <c r="F105" s="187"/>
      <c r="G105" s="187"/>
      <c r="H105" s="187"/>
      <c r="I105" s="187"/>
      <c r="J105" s="187"/>
      <c r="K105" s="187"/>
      <c r="L105" s="187"/>
      <c r="M105" s="111"/>
      <c r="N105" s="111"/>
      <c r="O105" s="111"/>
      <c r="P105" s="111"/>
      <c r="Q105" s="111"/>
    </row>
    <row r="106" spans="3:17">
      <c r="C106" s="13"/>
      <c r="D106" s="12"/>
      <c r="E106" s="191"/>
      <c r="F106" s="350"/>
      <c r="G106" s="187"/>
      <c r="H106" s="187"/>
      <c r="I106" s="187"/>
      <c r="J106" s="187"/>
      <c r="K106" s="187"/>
      <c r="L106" s="187"/>
      <c r="M106" s="111"/>
      <c r="N106" s="111"/>
      <c r="O106" s="111"/>
      <c r="P106" s="111"/>
      <c r="Q106" s="111"/>
    </row>
    <row r="107" spans="3:17">
      <c r="C107" s="13"/>
      <c r="D107" s="12"/>
      <c r="E107" s="188"/>
      <c r="F107" s="350"/>
      <c r="G107" s="187"/>
      <c r="H107" s="187"/>
      <c r="I107" s="187"/>
      <c r="J107" s="187"/>
      <c r="K107" s="187"/>
      <c r="L107" s="187"/>
      <c r="M107" s="111"/>
      <c r="N107" s="111"/>
      <c r="O107" s="111"/>
      <c r="P107" s="111"/>
      <c r="Q107" s="111"/>
    </row>
    <row r="108" spans="3:17">
      <c r="C108" s="13"/>
      <c r="D108" s="12"/>
      <c r="E108" s="187"/>
      <c r="F108" s="350"/>
      <c r="G108" s="187"/>
      <c r="H108" s="187"/>
      <c r="I108" s="187"/>
      <c r="J108" s="187"/>
      <c r="K108" s="187"/>
      <c r="L108" s="187"/>
      <c r="M108" s="111"/>
      <c r="N108" s="111"/>
      <c r="O108" s="111"/>
      <c r="P108" s="111"/>
      <c r="Q108" s="111"/>
    </row>
    <row r="109" spans="3:17" ht="14">
      <c r="C109" s="187"/>
      <c r="D109" s="351"/>
      <c r="E109" s="193"/>
      <c r="F109" s="193"/>
      <c r="G109" s="193"/>
      <c r="H109" s="193"/>
      <c r="I109" s="193"/>
      <c r="J109" s="193"/>
      <c r="K109" s="193"/>
      <c r="L109" s="193"/>
      <c r="M109" s="111"/>
      <c r="N109" s="111"/>
      <c r="O109" s="111"/>
      <c r="P109" s="111"/>
      <c r="Q109" s="111"/>
    </row>
    <row r="110" spans="3:17" ht="14">
      <c r="E110" s="193"/>
      <c r="F110" s="193"/>
      <c r="G110" s="193"/>
      <c r="H110" s="193"/>
      <c r="I110" s="193"/>
      <c r="J110" s="193"/>
      <c r="K110" s="193"/>
      <c r="L110" s="193"/>
      <c r="M110" s="111"/>
      <c r="N110" s="111"/>
      <c r="O110" s="111"/>
      <c r="P110" s="111"/>
      <c r="Q110" s="111"/>
    </row>
    <row r="111" spans="3:17" ht="14">
      <c r="E111" s="194"/>
      <c r="F111" s="352"/>
      <c r="G111" s="193"/>
      <c r="H111" s="193"/>
      <c r="I111" s="193"/>
      <c r="J111" s="193"/>
      <c r="K111" s="193"/>
      <c r="L111" s="193"/>
      <c r="M111" s="111"/>
      <c r="N111" s="111"/>
      <c r="O111" s="111"/>
      <c r="P111" s="111"/>
      <c r="Q111" s="111"/>
    </row>
    <row r="112" spans="3:17" ht="14">
      <c r="C112" s="191"/>
      <c r="D112" s="350"/>
      <c r="E112" s="196"/>
      <c r="F112" s="352"/>
      <c r="G112" s="193"/>
      <c r="H112" s="193"/>
      <c r="I112" s="193"/>
      <c r="J112" s="193"/>
      <c r="K112" s="193"/>
      <c r="L112" s="193"/>
      <c r="M112" s="111"/>
      <c r="N112" s="111"/>
      <c r="O112" s="111"/>
      <c r="P112" s="111"/>
      <c r="Q112" s="111"/>
    </row>
    <row r="113" spans="3:17" ht="14">
      <c r="C113" s="197"/>
      <c r="D113" s="350"/>
      <c r="E113" s="193"/>
      <c r="F113" s="352"/>
      <c r="G113" s="193"/>
      <c r="H113" s="193"/>
      <c r="I113" s="193"/>
      <c r="J113" s="193"/>
      <c r="K113" s="193"/>
      <c r="L113" s="193"/>
      <c r="M113" s="111"/>
      <c r="N113" s="111"/>
      <c r="O113" s="111"/>
      <c r="P113" s="111"/>
      <c r="Q113" s="111"/>
    </row>
    <row r="114" spans="3:17">
      <c r="D114" s="350"/>
      <c r="M114" s="111"/>
      <c r="N114" s="111"/>
      <c r="O114" s="111"/>
      <c r="P114" s="111"/>
      <c r="Q114" s="111"/>
    </row>
    <row r="115" spans="3:17">
      <c r="M115" s="111"/>
      <c r="N115" s="111"/>
      <c r="O115" s="111"/>
      <c r="P115" s="111"/>
      <c r="Q115" s="111"/>
    </row>
    <row r="116" spans="3:17">
      <c r="M116" s="111"/>
      <c r="N116" s="111"/>
      <c r="O116" s="111"/>
      <c r="P116" s="111"/>
      <c r="Q116" s="111"/>
    </row>
    <row r="117" spans="3:17">
      <c r="M117" s="111"/>
      <c r="N117" s="111"/>
      <c r="O117" s="111"/>
      <c r="P117" s="111"/>
      <c r="Q117" s="111"/>
    </row>
    <row r="118" spans="3:17">
      <c r="M118" s="111"/>
      <c r="N118" s="111"/>
      <c r="O118" s="111"/>
      <c r="P118" s="111"/>
      <c r="Q118" s="111"/>
    </row>
    <row r="119" spans="3:17">
      <c r="M119" s="111"/>
      <c r="N119" s="111"/>
      <c r="O119" s="111"/>
      <c r="P119" s="111"/>
      <c r="Q119" s="111"/>
    </row>
    <row r="120" spans="3:17">
      <c r="M120" s="111"/>
      <c r="N120" s="111"/>
      <c r="O120" s="111"/>
      <c r="P120" s="111"/>
      <c r="Q120" s="111"/>
    </row>
    <row r="121" spans="3:17">
      <c r="M121" s="111"/>
      <c r="N121" s="111"/>
      <c r="O121" s="111"/>
      <c r="P121" s="111"/>
      <c r="Q121" s="111"/>
    </row>
    <row r="122" spans="3:17">
      <c r="M122" s="111"/>
      <c r="N122" s="111"/>
      <c r="O122" s="111"/>
      <c r="P122" s="111"/>
      <c r="Q122" s="111"/>
    </row>
    <row r="123" spans="3:17">
      <c r="M123" s="111"/>
      <c r="N123" s="111"/>
      <c r="O123" s="111"/>
      <c r="P123" s="111"/>
      <c r="Q123" s="111"/>
    </row>
    <row r="124" spans="3:17">
      <c r="M124" s="111"/>
      <c r="N124" s="111"/>
      <c r="O124" s="111"/>
      <c r="P124" s="111"/>
      <c r="Q124" s="111"/>
    </row>
    <row r="125" spans="3:17">
      <c r="M125" s="111"/>
      <c r="N125" s="111"/>
      <c r="O125" s="111"/>
      <c r="P125" s="111"/>
      <c r="Q125" s="111"/>
    </row>
    <row r="126" spans="3:17">
      <c r="M126" s="111"/>
      <c r="N126" s="111"/>
      <c r="O126" s="111"/>
      <c r="P126" s="111"/>
      <c r="Q126" s="111"/>
    </row>
    <row r="127" spans="3:17">
      <c r="M127" s="111"/>
      <c r="N127" s="111"/>
      <c r="O127" s="111"/>
      <c r="P127" s="111"/>
      <c r="Q127" s="111"/>
    </row>
    <row r="128" spans="3:17">
      <c r="M128" s="111"/>
      <c r="N128" s="111"/>
      <c r="O128" s="111"/>
      <c r="P128" s="111"/>
      <c r="Q128" s="111"/>
    </row>
    <row r="129" spans="13:17">
      <c r="M129" s="111"/>
      <c r="N129" s="111"/>
      <c r="O129" s="111"/>
      <c r="P129" s="111"/>
      <c r="Q129" s="111"/>
    </row>
    <row r="130" spans="13:17">
      <c r="M130" s="111"/>
      <c r="N130" s="111"/>
      <c r="O130" s="111"/>
      <c r="P130" s="111"/>
      <c r="Q130" s="111"/>
    </row>
    <row r="131" spans="13:17">
      <c r="M131" s="111"/>
      <c r="N131" s="111"/>
      <c r="O131" s="111"/>
      <c r="P131" s="111"/>
      <c r="Q131" s="111"/>
    </row>
    <row r="132" spans="13:17">
      <c r="M132" s="111"/>
      <c r="N132" s="111"/>
      <c r="O132" s="111"/>
      <c r="P132" s="111"/>
      <c r="Q132" s="111"/>
    </row>
    <row r="133" spans="13:17">
      <c r="M133" s="111"/>
      <c r="N133" s="111"/>
      <c r="O133" s="111"/>
      <c r="P133" s="111"/>
      <c r="Q133" s="111"/>
    </row>
    <row r="134" spans="13:17">
      <c r="M134" s="111"/>
      <c r="N134" s="111"/>
      <c r="O134" s="111"/>
      <c r="P134" s="111"/>
      <c r="Q134" s="111"/>
    </row>
    <row r="135" spans="13:17">
      <c r="M135" s="111"/>
      <c r="N135" s="111"/>
      <c r="O135" s="111"/>
      <c r="P135" s="111"/>
      <c r="Q135" s="111"/>
    </row>
    <row r="136" spans="13:17">
      <c r="M136" s="111"/>
      <c r="N136" s="111"/>
      <c r="O136" s="111"/>
      <c r="P136" s="111"/>
      <c r="Q136" s="111"/>
    </row>
    <row r="137" spans="13:17">
      <c r="M137" s="111"/>
      <c r="N137" s="111"/>
      <c r="O137" s="111"/>
      <c r="P137" s="111"/>
      <c r="Q137" s="111"/>
    </row>
    <row r="138" spans="13:17">
      <c r="M138" s="111"/>
      <c r="N138" s="111"/>
      <c r="O138" s="111"/>
      <c r="P138" s="111"/>
      <c r="Q138" s="111"/>
    </row>
    <row r="139" spans="13:17">
      <c r="M139" s="111"/>
      <c r="N139" s="111"/>
      <c r="O139" s="111"/>
      <c r="P139" s="111"/>
      <c r="Q139" s="111"/>
    </row>
    <row r="140" spans="13:17">
      <c r="M140" s="111"/>
      <c r="N140" s="111"/>
      <c r="O140" s="111"/>
      <c r="P140" s="111"/>
      <c r="Q140" s="111"/>
    </row>
    <row r="141" spans="13:17">
      <c r="M141" s="111"/>
      <c r="N141" s="111"/>
      <c r="O141" s="111"/>
      <c r="P141" s="111"/>
      <c r="Q141" s="111"/>
    </row>
    <row r="142" spans="13:17">
      <c r="M142" s="111"/>
      <c r="N142" s="111"/>
      <c r="O142" s="111"/>
      <c r="P142" s="111"/>
      <c r="Q142" s="111"/>
    </row>
    <row r="143" spans="13:17">
      <c r="M143" s="111"/>
      <c r="N143" s="111"/>
      <c r="O143" s="111"/>
      <c r="P143" s="111"/>
      <c r="Q143" s="111"/>
    </row>
    <row r="144" spans="13:17">
      <c r="M144" s="111"/>
      <c r="N144" s="111"/>
      <c r="O144" s="111"/>
      <c r="P144" s="111"/>
      <c r="Q144" s="111"/>
    </row>
    <row r="145" spans="13:17">
      <c r="M145" s="111"/>
      <c r="N145" s="111"/>
      <c r="O145" s="111"/>
      <c r="P145" s="111"/>
      <c r="Q145" s="111"/>
    </row>
    <row r="146" spans="13:17">
      <c r="M146" s="111"/>
      <c r="N146" s="111"/>
      <c r="O146" s="111"/>
      <c r="P146" s="111"/>
      <c r="Q146" s="111"/>
    </row>
    <row r="147" spans="13:17">
      <c r="M147" s="111"/>
      <c r="N147" s="111"/>
      <c r="O147" s="111"/>
      <c r="P147" s="111"/>
      <c r="Q147" s="111"/>
    </row>
    <row r="148" spans="13:17">
      <c r="M148" s="111"/>
      <c r="N148" s="111"/>
      <c r="O148" s="111"/>
      <c r="P148" s="111"/>
      <c r="Q148" s="111"/>
    </row>
    <row r="149" spans="13:17">
      <c r="M149" s="111"/>
      <c r="N149" s="111"/>
      <c r="O149" s="111"/>
      <c r="P149" s="111"/>
      <c r="Q149" s="111"/>
    </row>
    <row r="150" spans="13:17">
      <c r="M150" s="111"/>
      <c r="N150" s="111"/>
      <c r="O150" s="111"/>
      <c r="P150" s="111"/>
      <c r="Q150" s="111"/>
    </row>
    <row r="151" spans="13:17">
      <c r="M151" s="111"/>
      <c r="N151" s="111"/>
      <c r="O151" s="111"/>
      <c r="P151" s="111"/>
      <c r="Q151" s="111"/>
    </row>
    <row r="152" spans="13:17">
      <c r="M152" s="111"/>
      <c r="N152" s="111"/>
      <c r="O152" s="111"/>
      <c r="P152" s="111"/>
      <c r="Q152" s="111"/>
    </row>
    <row r="153" spans="13:17">
      <c r="M153" s="111"/>
      <c r="N153" s="111"/>
      <c r="O153" s="111"/>
      <c r="P153" s="111"/>
      <c r="Q153" s="111"/>
    </row>
    <row r="154" spans="13:17">
      <c r="M154" s="111"/>
      <c r="N154" s="111"/>
      <c r="O154" s="111"/>
      <c r="P154" s="111"/>
      <c r="Q154" s="111"/>
    </row>
    <row r="155" spans="13:17">
      <c r="M155" s="111"/>
      <c r="N155" s="111"/>
      <c r="O155" s="111"/>
      <c r="P155" s="111"/>
      <c r="Q155" s="111"/>
    </row>
    <row r="156" spans="13:17">
      <c r="M156" s="111"/>
      <c r="N156" s="111"/>
      <c r="O156" s="111"/>
      <c r="P156" s="111"/>
      <c r="Q156" s="111"/>
    </row>
    <row r="157" spans="13:17">
      <c r="M157" s="111"/>
      <c r="N157" s="111"/>
      <c r="O157" s="111"/>
      <c r="P157" s="111"/>
      <c r="Q157" s="111"/>
    </row>
    <row r="158" spans="13:17">
      <c r="M158" s="111"/>
      <c r="N158" s="111"/>
      <c r="O158" s="111"/>
      <c r="P158" s="111"/>
      <c r="Q158" s="111"/>
    </row>
    <row r="159" spans="13:17">
      <c r="M159" s="111"/>
      <c r="N159" s="111"/>
      <c r="O159" s="111"/>
      <c r="P159" s="111"/>
      <c r="Q159" s="111"/>
    </row>
    <row r="160" spans="13:17">
      <c r="M160" s="111"/>
      <c r="N160" s="111"/>
      <c r="O160" s="111"/>
      <c r="P160" s="111"/>
      <c r="Q160" s="111"/>
    </row>
    <row r="161" spans="13:17">
      <c r="M161" s="111"/>
      <c r="N161" s="111"/>
      <c r="O161" s="111"/>
      <c r="P161" s="111"/>
      <c r="Q161" s="111"/>
    </row>
    <row r="162" spans="13:17">
      <c r="M162" s="111"/>
      <c r="N162" s="111"/>
      <c r="O162" s="111"/>
      <c r="P162" s="111"/>
      <c r="Q162" s="111"/>
    </row>
    <row r="163" spans="13:17">
      <c r="M163" s="111"/>
      <c r="N163" s="111"/>
      <c r="O163" s="111"/>
      <c r="P163" s="111"/>
      <c r="Q163" s="111"/>
    </row>
    <row r="164" spans="13:17">
      <c r="M164" s="111"/>
      <c r="N164" s="111"/>
      <c r="O164" s="111"/>
      <c r="P164" s="111"/>
      <c r="Q164" s="111"/>
    </row>
    <row r="165" spans="13:17">
      <c r="M165" s="111"/>
      <c r="N165" s="111"/>
      <c r="O165" s="111"/>
      <c r="P165" s="111"/>
      <c r="Q165" s="111"/>
    </row>
    <row r="166" spans="13:17">
      <c r="M166" s="111"/>
      <c r="N166" s="111"/>
      <c r="O166" s="111"/>
      <c r="P166" s="111"/>
      <c r="Q166" s="111"/>
    </row>
    <row r="167" spans="13:17">
      <c r="M167" s="111"/>
      <c r="N167" s="111"/>
      <c r="O167" s="111"/>
      <c r="P167" s="111"/>
      <c r="Q167" s="111"/>
    </row>
    <row r="168" spans="13:17">
      <c r="M168" s="111"/>
      <c r="N168" s="111"/>
      <c r="O168" s="111"/>
      <c r="P168" s="111"/>
      <c r="Q168" s="111"/>
    </row>
    <row r="169" spans="13:17">
      <c r="M169" s="111"/>
      <c r="N169" s="111"/>
      <c r="O169" s="111"/>
      <c r="P169" s="111"/>
      <c r="Q169" s="111"/>
    </row>
    <row r="170" spans="13:17">
      <c r="M170" s="111"/>
      <c r="N170" s="111"/>
      <c r="O170" s="111"/>
      <c r="P170" s="111"/>
      <c r="Q170" s="111"/>
    </row>
    <row r="171" spans="13:17">
      <c r="M171" s="111"/>
      <c r="N171" s="111"/>
      <c r="O171" s="111"/>
      <c r="P171" s="111"/>
      <c r="Q171" s="111"/>
    </row>
    <row r="172" spans="13:17">
      <c r="M172" s="111"/>
      <c r="N172" s="111"/>
      <c r="O172" s="111"/>
      <c r="P172" s="111"/>
      <c r="Q172" s="111"/>
    </row>
    <row r="173" spans="13:17">
      <c r="M173" s="111"/>
      <c r="N173" s="111"/>
      <c r="O173" s="111"/>
      <c r="P173" s="111"/>
      <c r="Q173" s="111"/>
    </row>
    <row r="174" spans="13:17">
      <c r="M174" s="111"/>
      <c r="N174" s="111"/>
      <c r="O174" s="111"/>
      <c r="P174" s="111"/>
      <c r="Q174" s="111"/>
    </row>
    <row r="175" spans="13:17">
      <c r="M175" s="111"/>
      <c r="N175" s="111"/>
      <c r="O175" s="111"/>
      <c r="P175" s="111"/>
      <c r="Q175" s="111"/>
    </row>
    <row r="176" spans="13:17">
      <c r="M176" s="111"/>
      <c r="N176" s="111"/>
      <c r="O176" s="111"/>
      <c r="P176" s="111"/>
      <c r="Q176" s="111"/>
    </row>
    <row r="177" spans="13:17">
      <c r="M177" s="111"/>
      <c r="N177" s="111"/>
      <c r="O177" s="111"/>
      <c r="P177" s="111"/>
      <c r="Q177" s="111"/>
    </row>
    <row r="178" spans="13:17">
      <c r="M178" s="111"/>
      <c r="N178" s="111"/>
      <c r="O178" s="111"/>
      <c r="P178" s="111"/>
      <c r="Q178" s="111"/>
    </row>
    <row r="179" spans="13:17">
      <c r="M179" s="111"/>
      <c r="N179" s="111"/>
      <c r="O179" s="111"/>
      <c r="P179" s="111"/>
      <c r="Q179" s="111"/>
    </row>
    <row r="180" spans="13:17">
      <c r="M180" s="111"/>
      <c r="N180" s="111"/>
      <c r="O180" s="111"/>
      <c r="P180" s="111"/>
      <c r="Q180" s="111"/>
    </row>
    <row r="181" spans="13:17">
      <c r="M181" s="111"/>
      <c r="N181" s="111"/>
      <c r="O181" s="111"/>
      <c r="P181" s="111"/>
      <c r="Q181" s="111"/>
    </row>
    <row r="182" spans="13:17">
      <c r="M182" s="111"/>
      <c r="N182" s="111"/>
      <c r="O182" s="111"/>
      <c r="P182" s="111"/>
      <c r="Q182" s="111"/>
    </row>
    <row r="183" spans="13:17">
      <c r="M183" s="111"/>
      <c r="N183" s="111"/>
      <c r="O183" s="111"/>
      <c r="P183" s="111"/>
      <c r="Q183" s="111"/>
    </row>
    <row r="184" spans="13:17">
      <c r="M184" s="111"/>
      <c r="N184" s="111"/>
      <c r="O184" s="111"/>
      <c r="P184" s="111"/>
      <c r="Q184" s="111"/>
    </row>
    <row r="185" spans="13:17">
      <c r="M185" s="111"/>
      <c r="N185" s="111"/>
      <c r="O185" s="111"/>
      <c r="P185" s="111"/>
      <c r="Q185" s="111"/>
    </row>
    <row r="186" spans="13:17">
      <c r="M186" s="111"/>
      <c r="N186" s="111"/>
      <c r="O186" s="111"/>
      <c r="P186" s="111"/>
      <c r="Q186" s="111"/>
    </row>
    <row r="187" spans="13:17">
      <c r="M187" s="111"/>
      <c r="N187" s="111"/>
      <c r="O187" s="111"/>
      <c r="P187" s="111"/>
      <c r="Q187" s="111"/>
    </row>
    <row r="188" spans="13:17">
      <c r="M188" s="111"/>
      <c r="N188" s="111"/>
      <c r="O188" s="111"/>
      <c r="P188" s="111"/>
      <c r="Q188" s="111"/>
    </row>
    <row r="189" spans="13:17">
      <c r="M189" s="111"/>
      <c r="N189" s="111"/>
      <c r="O189" s="111"/>
      <c r="P189" s="111"/>
      <c r="Q189" s="111"/>
    </row>
    <row r="190" spans="13:17">
      <c r="M190" s="111"/>
      <c r="N190" s="111"/>
      <c r="O190" s="111"/>
      <c r="P190" s="111"/>
      <c r="Q190" s="111"/>
    </row>
    <row r="191" spans="13:17">
      <c r="M191" s="111"/>
      <c r="N191" s="111"/>
      <c r="O191" s="111"/>
      <c r="P191" s="111"/>
      <c r="Q191" s="111"/>
    </row>
    <row r="192" spans="13:17">
      <c r="M192" s="111"/>
      <c r="N192" s="111"/>
      <c r="O192" s="111"/>
      <c r="P192" s="111"/>
      <c r="Q192" s="111"/>
    </row>
    <row r="193" spans="13:17">
      <c r="M193" s="111"/>
      <c r="N193" s="111"/>
      <c r="O193" s="111"/>
      <c r="P193" s="111"/>
      <c r="Q193" s="111"/>
    </row>
    <row r="194" spans="13:17">
      <c r="M194" s="111"/>
      <c r="N194" s="111"/>
      <c r="O194" s="111"/>
      <c r="P194" s="111"/>
      <c r="Q194" s="111"/>
    </row>
    <row r="195" spans="13:17">
      <c r="M195" s="111"/>
      <c r="N195" s="111"/>
      <c r="O195" s="111"/>
      <c r="P195" s="111"/>
      <c r="Q195" s="111"/>
    </row>
    <row r="196" spans="13:17">
      <c r="M196" s="111"/>
      <c r="N196" s="111"/>
      <c r="O196" s="111"/>
      <c r="P196" s="111"/>
      <c r="Q196" s="111"/>
    </row>
    <row r="197" spans="13:17">
      <c r="M197" s="111"/>
      <c r="N197" s="111"/>
      <c r="O197" s="111"/>
      <c r="P197" s="111"/>
      <c r="Q197" s="111"/>
    </row>
    <row r="198" spans="13:17">
      <c r="M198" s="111"/>
      <c r="N198" s="111"/>
      <c r="O198" s="111"/>
      <c r="P198" s="111"/>
      <c r="Q198" s="111"/>
    </row>
    <row r="199" spans="13:17">
      <c r="M199" s="111"/>
      <c r="N199" s="111"/>
      <c r="O199" s="111"/>
      <c r="P199" s="111"/>
      <c r="Q199" s="111"/>
    </row>
    <row r="200" spans="13:17">
      <c r="M200" s="111"/>
      <c r="N200" s="111"/>
      <c r="O200" s="111"/>
      <c r="P200" s="111"/>
      <c r="Q200" s="111"/>
    </row>
    <row r="201" spans="13:17">
      <c r="M201" s="111"/>
      <c r="N201" s="111"/>
      <c r="O201" s="111"/>
      <c r="P201" s="111"/>
      <c r="Q201" s="111"/>
    </row>
    <row r="202" spans="13:17">
      <c r="M202" s="111"/>
      <c r="N202" s="111"/>
      <c r="O202" s="111"/>
      <c r="P202" s="111"/>
      <c r="Q202" s="111"/>
    </row>
    <row r="203" spans="13:17">
      <c r="M203" s="111"/>
      <c r="N203" s="111"/>
      <c r="O203" s="111"/>
      <c r="P203" s="111"/>
      <c r="Q203" s="111"/>
    </row>
    <row r="204" spans="13:17">
      <c r="M204" s="111"/>
      <c r="N204" s="111"/>
      <c r="O204" s="111"/>
      <c r="P204" s="111"/>
      <c r="Q204" s="111"/>
    </row>
    <row r="205" spans="13:17">
      <c r="M205" s="111"/>
      <c r="N205" s="111"/>
      <c r="O205" s="111"/>
      <c r="P205" s="111"/>
      <c r="Q205" s="111"/>
    </row>
    <row r="206" spans="13:17">
      <c r="M206" s="111"/>
      <c r="N206" s="111"/>
      <c r="O206" s="111"/>
      <c r="P206" s="111"/>
      <c r="Q206" s="111"/>
    </row>
    <row r="207" spans="13:17">
      <c r="M207" s="111"/>
      <c r="N207" s="111"/>
      <c r="O207" s="111"/>
      <c r="P207" s="111"/>
      <c r="Q207" s="111"/>
    </row>
    <row r="208" spans="13:17">
      <c r="M208" s="111"/>
      <c r="N208" s="111"/>
      <c r="O208" s="111"/>
      <c r="P208" s="111"/>
      <c r="Q208" s="111"/>
    </row>
    <row r="209" spans="13:17">
      <c r="M209" s="111"/>
      <c r="N209" s="111"/>
      <c r="O209" s="111"/>
      <c r="P209" s="111"/>
      <c r="Q209" s="111"/>
    </row>
    <row r="210" spans="13:17">
      <c r="M210" s="111"/>
      <c r="N210" s="111"/>
      <c r="O210" s="111"/>
      <c r="P210" s="111"/>
      <c r="Q210" s="111"/>
    </row>
    <row r="211" spans="13:17">
      <c r="M211" s="111"/>
      <c r="N211" s="111"/>
      <c r="O211" s="111"/>
      <c r="P211" s="111"/>
      <c r="Q211" s="111"/>
    </row>
    <row r="212" spans="13:17">
      <c r="M212" s="111"/>
      <c r="N212" s="111"/>
      <c r="O212" s="111"/>
      <c r="P212" s="111"/>
      <c r="Q212" s="111"/>
    </row>
    <row r="213" spans="13:17">
      <c r="M213" s="111"/>
      <c r="N213" s="111"/>
      <c r="O213" s="111"/>
      <c r="P213" s="111"/>
      <c r="Q213" s="111"/>
    </row>
    <row r="214" spans="13:17">
      <c r="M214" s="111"/>
      <c r="N214" s="111"/>
      <c r="O214" s="111"/>
      <c r="P214" s="111"/>
      <c r="Q214" s="111"/>
    </row>
    <row r="215" spans="13:17">
      <c r="M215" s="111"/>
      <c r="N215" s="111"/>
      <c r="O215" s="111"/>
      <c r="P215" s="111"/>
      <c r="Q215" s="111"/>
    </row>
    <row r="216" spans="13:17">
      <c r="M216" s="111"/>
      <c r="N216" s="111"/>
      <c r="O216" s="111"/>
      <c r="P216" s="111"/>
      <c r="Q216" s="111"/>
    </row>
    <row r="217" spans="13:17">
      <c r="M217" s="111"/>
      <c r="N217" s="111"/>
      <c r="O217" s="111"/>
      <c r="P217" s="111"/>
      <c r="Q217" s="111"/>
    </row>
    <row r="218" spans="13:17">
      <c r="M218" s="111"/>
      <c r="N218" s="111"/>
      <c r="O218" s="111"/>
      <c r="P218" s="111"/>
      <c r="Q218" s="111"/>
    </row>
    <row r="219" spans="13:17">
      <c r="M219" s="111"/>
      <c r="N219" s="111"/>
      <c r="O219" s="111"/>
      <c r="P219" s="111"/>
      <c r="Q219" s="111"/>
    </row>
    <row r="220" spans="13:17">
      <c r="M220" s="111"/>
      <c r="N220" s="111"/>
      <c r="O220" s="111"/>
      <c r="P220" s="111"/>
      <c r="Q220" s="111"/>
    </row>
    <row r="221" spans="13:17">
      <c r="M221" s="111"/>
      <c r="N221" s="111"/>
      <c r="O221" s="111"/>
      <c r="P221" s="111"/>
      <c r="Q221" s="111"/>
    </row>
    <row r="222" spans="13:17">
      <c r="M222" s="111"/>
      <c r="N222" s="111"/>
      <c r="O222" s="111"/>
      <c r="P222" s="111"/>
      <c r="Q222" s="111"/>
    </row>
    <row r="223" spans="13:17">
      <c r="M223" s="111"/>
      <c r="N223" s="111"/>
      <c r="O223" s="111"/>
      <c r="P223" s="111"/>
      <c r="Q223" s="111"/>
    </row>
    <row r="224" spans="13:17">
      <c r="M224" s="111"/>
      <c r="N224" s="111"/>
      <c r="O224" s="111"/>
      <c r="P224" s="111"/>
      <c r="Q224" s="111"/>
    </row>
    <row r="225" spans="13:17">
      <c r="M225" s="111"/>
      <c r="N225" s="111"/>
      <c r="O225" s="111"/>
      <c r="P225" s="111"/>
      <c r="Q225" s="111"/>
    </row>
    <row r="226" spans="13:17">
      <c r="M226" s="111"/>
      <c r="N226" s="111"/>
      <c r="O226" s="111"/>
      <c r="P226" s="111"/>
      <c r="Q226" s="111"/>
    </row>
    <row r="227" spans="13:17">
      <c r="M227" s="111"/>
      <c r="N227" s="111"/>
      <c r="O227" s="111"/>
      <c r="P227" s="111"/>
      <c r="Q227" s="111"/>
    </row>
    <row r="228" spans="13:17">
      <c r="M228" s="111"/>
      <c r="N228" s="111"/>
      <c r="O228" s="111"/>
      <c r="P228" s="111"/>
      <c r="Q228" s="111"/>
    </row>
    <row r="229" spans="13:17">
      <c r="M229" s="111"/>
      <c r="N229" s="111"/>
      <c r="O229" s="111"/>
      <c r="P229" s="111"/>
      <c r="Q229" s="111"/>
    </row>
    <row r="230" spans="13:17">
      <c r="M230" s="111"/>
      <c r="N230" s="111"/>
      <c r="O230" s="111"/>
      <c r="P230" s="111"/>
      <c r="Q230" s="111"/>
    </row>
    <row r="231" spans="13:17">
      <c r="M231" s="111"/>
      <c r="N231" s="111"/>
      <c r="O231" s="111"/>
      <c r="P231" s="111"/>
      <c r="Q231" s="111"/>
    </row>
    <row r="232" spans="13:17">
      <c r="M232" s="111"/>
      <c r="N232" s="111"/>
      <c r="O232" s="111"/>
      <c r="P232" s="111"/>
      <c r="Q232" s="111"/>
    </row>
    <row r="233" spans="13:17">
      <c r="M233" s="111"/>
      <c r="N233" s="111"/>
      <c r="O233" s="111"/>
      <c r="P233" s="111"/>
      <c r="Q233" s="111"/>
    </row>
    <row r="234" spans="13:17">
      <c r="M234" s="111"/>
      <c r="N234" s="111"/>
      <c r="O234" s="111"/>
      <c r="P234" s="111"/>
      <c r="Q234" s="111"/>
    </row>
    <row r="235" spans="13:17">
      <c r="M235" s="111"/>
      <c r="N235" s="111"/>
      <c r="O235" s="111"/>
      <c r="P235" s="111"/>
      <c r="Q235" s="111"/>
    </row>
    <row r="236" spans="13:17">
      <c r="M236" s="111"/>
      <c r="N236" s="111"/>
      <c r="O236" s="111"/>
      <c r="P236" s="111"/>
      <c r="Q236" s="111"/>
    </row>
    <row r="237" spans="13:17">
      <c r="M237" s="111"/>
      <c r="N237" s="111"/>
      <c r="O237" s="111"/>
      <c r="P237" s="111"/>
      <c r="Q237" s="111"/>
    </row>
    <row r="238" spans="13:17">
      <c r="M238" s="111"/>
      <c r="N238" s="111"/>
      <c r="O238" s="111"/>
      <c r="P238" s="111"/>
      <c r="Q238" s="111"/>
    </row>
    <row r="239" spans="13:17">
      <c r="M239" s="111"/>
      <c r="N239" s="111"/>
      <c r="O239" s="111"/>
      <c r="P239" s="111"/>
      <c r="Q239" s="111"/>
    </row>
    <row r="240" spans="13:17">
      <c r="M240" s="111"/>
      <c r="N240" s="111"/>
      <c r="O240" s="111"/>
      <c r="P240" s="111"/>
      <c r="Q240" s="111"/>
    </row>
    <row r="241" spans="13:17">
      <c r="M241" s="111"/>
      <c r="N241" s="111"/>
      <c r="O241" s="111"/>
      <c r="P241" s="111"/>
      <c r="Q241" s="111"/>
    </row>
    <row r="242" spans="13:17">
      <c r="M242" s="111"/>
      <c r="N242" s="111"/>
      <c r="O242" s="111"/>
      <c r="P242" s="111"/>
      <c r="Q242" s="111"/>
    </row>
    <row r="243" spans="13:17">
      <c r="M243" s="111"/>
      <c r="N243" s="111"/>
      <c r="O243" s="111"/>
      <c r="P243" s="111"/>
      <c r="Q243" s="111"/>
    </row>
    <row r="244" spans="13:17">
      <c r="M244" s="111"/>
      <c r="N244" s="111"/>
      <c r="O244" s="111"/>
      <c r="P244" s="111"/>
      <c r="Q244" s="111"/>
    </row>
    <row r="245" spans="13:17">
      <c r="M245" s="111"/>
      <c r="N245" s="111"/>
      <c r="O245" s="111"/>
      <c r="P245" s="111"/>
      <c r="Q245" s="111"/>
    </row>
    <row r="246" spans="13:17">
      <c r="M246" s="111"/>
      <c r="N246" s="111"/>
      <c r="O246" s="111"/>
      <c r="P246" s="111"/>
      <c r="Q246" s="111"/>
    </row>
    <row r="247" spans="13:17">
      <c r="M247" s="111"/>
      <c r="N247" s="111"/>
      <c r="O247" s="111"/>
      <c r="P247" s="111"/>
      <c r="Q247" s="111"/>
    </row>
    <row r="248" spans="13:17">
      <c r="M248" s="111"/>
      <c r="N248" s="111"/>
      <c r="O248" s="111"/>
      <c r="P248" s="111"/>
      <c r="Q248" s="111"/>
    </row>
    <row r="249" spans="13:17">
      <c r="M249" s="111"/>
      <c r="N249" s="111"/>
      <c r="O249" s="111"/>
      <c r="P249" s="111"/>
      <c r="Q249" s="111"/>
    </row>
    <row r="250" spans="13:17">
      <c r="M250" s="111"/>
      <c r="N250" s="111"/>
      <c r="O250" s="111"/>
      <c r="P250" s="111"/>
      <c r="Q250" s="111"/>
    </row>
    <row r="251" spans="13:17">
      <c r="M251" s="111"/>
      <c r="N251" s="111"/>
      <c r="O251" s="111"/>
      <c r="P251" s="111"/>
      <c r="Q251" s="111"/>
    </row>
    <row r="252" spans="13:17">
      <c r="M252" s="111"/>
      <c r="N252" s="111"/>
      <c r="O252" s="111"/>
      <c r="P252" s="111"/>
      <c r="Q252" s="111"/>
    </row>
    <row r="253" spans="13:17">
      <c r="M253" s="111"/>
      <c r="N253" s="111"/>
      <c r="O253" s="111"/>
      <c r="P253" s="111"/>
      <c r="Q253" s="111"/>
    </row>
    <row r="254" spans="13:17">
      <c r="M254" s="111"/>
      <c r="N254" s="111"/>
      <c r="O254" s="111"/>
      <c r="P254" s="111"/>
      <c r="Q254" s="111"/>
    </row>
    <row r="255" spans="13:17">
      <c r="M255" s="111"/>
      <c r="N255" s="111"/>
      <c r="O255" s="111"/>
      <c r="P255" s="111"/>
      <c r="Q255" s="111"/>
    </row>
    <row r="256" spans="13:17">
      <c r="M256" s="111"/>
      <c r="N256" s="111"/>
      <c r="O256" s="111"/>
      <c r="P256" s="111"/>
      <c r="Q256" s="111"/>
    </row>
    <row r="257" spans="13:17">
      <c r="M257" s="111"/>
      <c r="N257" s="111"/>
      <c r="O257" s="111"/>
      <c r="P257" s="111"/>
      <c r="Q257" s="111"/>
    </row>
    <row r="258" spans="13:17">
      <c r="M258" s="111"/>
      <c r="N258" s="111"/>
      <c r="O258" s="111"/>
      <c r="P258" s="111"/>
      <c r="Q258" s="111"/>
    </row>
    <row r="259" spans="13:17">
      <c r="M259" s="111"/>
      <c r="N259" s="111"/>
      <c r="O259" s="111"/>
      <c r="P259" s="111"/>
      <c r="Q259" s="111"/>
    </row>
    <row r="260" spans="13:17">
      <c r="M260" s="111"/>
      <c r="N260" s="111"/>
      <c r="O260" s="111"/>
      <c r="P260" s="111"/>
      <c r="Q260" s="111"/>
    </row>
    <row r="261" spans="13:17">
      <c r="M261" s="111"/>
      <c r="N261" s="111"/>
      <c r="O261" s="111"/>
      <c r="P261" s="111"/>
      <c r="Q261" s="111"/>
    </row>
    <row r="262" spans="13:17">
      <c r="M262" s="111"/>
      <c r="N262" s="111"/>
      <c r="O262" s="111"/>
      <c r="P262" s="111"/>
      <c r="Q262" s="111"/>
    </row>
    <row r="263" spans="13:17">
      <c r="M263" s="111"/>
      <c r="N263" s="111"/>
      <c r="O263" s="111"/>
      <c r="P263" s="111"/>
      <c r="Q263" s="111"/>
    </row>
    <row r="264" spans="13:17">
      <c r="M264" s="111"/>
      <c r="N264" s="111"/>
      <c r="O264" s="111"/>
      <c r="P264" s="111"/>
      <c r="Q264" s="111"/>
    </row>
    <row r="265" spans="13:17">
      <c r="M265" s="111"/>
      <c r="N265" s="111"/>
      <c r="O265" s="111"/>
      <c r="P265" s="111"/>
      <c r="Q265" s="111"/>
    </row>
    <row r="266" spans="13:17">
      <c r="M266" s="111"/>
      <c r="N266" s="111"/>
      <c r="O266" s="111"/>
      <c r="P266" s="111"/>
      <c r="Q266" s="111"/>
    </row>
    <row r="267" spans="13:17">
      <c r="M267" s="111"/>
      <c r="N267" s="111"/>
      <c r="O267" s="111"/>
      <c r="P267" s="111"/>
      <c r="Q267" s="111"/>
    </row>
    <row r="268" spans="13:17">
      <c r="M268" s="111"/>
      <c r="N268" s="111"/>
      <c r="O268" s="111"/>
      <c r="P268" s="111"/>
      <c r="Q268" s="111"/>
    </row>
    <row r="269" spans="13:17">
      <c r="M269" s="111"/>
      <c r="N269" s="111"/>
      <c r="O269" s="111"/>
      <c r="P269" s="111"/>
      <c r="Q269" s="111"/>
    </row>
    <row r="270" spans="13:17">
      <c r="M270" s="111"/>
      <c r="N270" s="111"/>
      <c r="O270" s="111"/>
      <c r="P270" s="111"/>
      <c r="Q270" s="111"/>
    </row>
    <row r="271" spans="13:17">
      <c r="M271" s="111"/>
      <c r="N271" s="111"/>
      <c r="O271" s="111"/>
      <c r="P271" s="111"/>
      <c r="Q271" s="111"/>
    </row>
    <row r="272" spans="13:17">
      <c r="M272" s="111"/>
      <c r="N272" s="111"/>
      <c r="O272" s="111"/>
      <c r="P272" s="111"/>
      <c r="Q272" s="111"/>
    </row>
    <row r="273" spans="13:17">
      <c r="M273" s="111"/>
      <c r="N273" s="111"/>
      <c r="O273" s="111"/>
      <c r="P273" s="111"/>
      <c r="Q273" s="111"/>
    </row>
    <row r="274" spans="13:17">
      <c r="M274" s="111"/>
      <c r="N274" s="111"/>
      <c r="O274" s="111"/>
      <c r="P274" s="111"/>
      <c r="Q274" s="111"/>
    </row>
    <row r="275" spans="13:17">
      <c r="M275" s="111"/>
      <c r="N275" s="111"/>
      <c r="O275" s="111"/>
      <c r="P275" s="111"/>
      <c r="Q275" s="111"/>
    </row>
    <row r="276" spans="13:17">
      <c r="M276" s="111"/>
      <c r="N276" s="111"/>
      <c r="O276" s="111"/>
      <c r="P276" s="111"/>
      <c r="Q276" s="111"/>
    </row>
    <row r="277" spans="13:17">
      <c r="M277" s="111"/>
      <c r="N277" s="111"/>
      <c r="O277" s="111"/>
      <c r="P277" s="111"/>
      <c r="Q277" s="111"/>
    </row>
    <row r="278" spans="13:17">
      <c r="M278" s="111"/>
      <c r="N278" s="111"/>
      <c r="O278" s="111"/>
      <c r="P278" s="111"/>
      <c r="Q278" s="111"/>
    </row>
    <row r="279" spans="13:17">
      <c r="M279" s="111"/>
      <c r="N279" s="111"/>
      <c r="O279" s="111"/>
      <c r="P279" s="111"/>
      <c r="Q279" s="111"/>
    </row>
    <row r="280" spans="13:17">
      <c r="M280" s="111"/>
      <c r="N280" s="111"/>
      <c r="O280" s="111"/>
      <c r="P280" s="111"/>
      <c r="Q280" s="111"/>
    </row>
    <row r="281" spans="13:17">
      <c r="M281" s="111"/>
      <c r="N281" s="111"/>
      <c r="O281" s="111"/>
      <c r="P281" s="111"/>
      <c r="Q281" s="111"/>
    </row>
    <row r="282" spans="13:17">
      <c r="M282" s="111"/>
      <c r="N282" s="111"/>
      <c r="O282" s="111"/>
      <c r="P282" s="111"/>
      <c r="Q282" s="111"/>
    </row>
    <row r="283" spans="13:17">
      <c r="M283" s="111"/>
      <c r="N283" s="111"/>
      <c r="O283" s="111"/>
      <c r="P283" s="111"/>
      <c r="Q283" s="111"/>
    </row>
    <row r="284" spans="13:17">
      <c r="M284" s="111"/>
      <c r="N284" s="111"/>
      <c r="O284" s="111"/>
      <c r="P284" s="111"/>
      <c r="Q284" s="111"/>
    </row>
    <row r="285" spans="13:17">
      <c r="M285" s="111"/>
      <c r="N285" s="111"/>
      <c r="O285" s="111"/>
      <c r="P285" s="111"/>
      <c r="Q285" s="111"/>
    </row>
    <row r="286" spans="13:17">
      <c r="M286" s="111"/>
      <c r="N286" s="111"/>
      <c r="O286" s="111"/>
      <c r="P286" s="111"/>
      <c r="Q286" s="111"/>
    </row>
    <row r="287" spans="13:17">
      <c r="M287" s="111"/>
      <c r="N287" s="111"/>
      <c r="O287" s="111"/>
      <c r="P287" s="111"/>
      <c r="Q287" s="111"/>
    </row>
    <row r="288" spans="13:17">
      <c r="M288" s="111"/>
      <c r="N288" s="111"/>
      <c r="O288" s="111"/>
      <c r="P288" s="111"/>
      <c r="Q288" s="111"/>
    </row>
    <row r="289" spans="13:17">
      <c r="M289" s="111"/>
      <c r="N289" s="111"/>
      <c r="O289" s="111"/>
      <c r="P289" s="111"/>
      <c r="Q289" s="111"/>
    </row>
    <row r="290" spans="13:17">
      <c r="M290" s="111"/>
      <c r="N290" s="111"/>
      <c r="O290" s="111"/>
      <c r="P290" s="111"/>
      <c r="Q290" s="111"/>
    </row>
    <row r="291" spans="13:17">
      <c r="M291" s="111"/>
      <c r="N291" s="111"/>
      <c r="O291" s="111"/>
      <c r="P291" s="111"/>
      <c r="Q291" s="111"/>
    </row>
    <row r="292" spans="13:17">
      <c r="M292" s="111"/>
      <c r="N292" s="111"/>
      <c r="O292" s="111"/>
      <c r="P292" s="111"/>
      <c r="Q292" s="111"/>
    </row>
    <row r="293" spans="13:17">
      <c r="M293" s="111"/>
      <c r="N293" s="111"/>
      <c r="O293" s="111"/>
      <c r="P293" s="111"/>
      <c r="Q293" s="111"/>
    </row>
    <row r="294" spans="13:17">
      <c r="M294" s="111"/>
      <c r="N294" s="111"/>
      <c r="O294" s="111"/>
      <c r="P294" s="111"/>
      <c r="Q294" s="111"/>
    </row>
    <row r="295" spans="13:17">
      <c r="M295" s="111"/>
      <c r="N295" s="111"/>
      <c r="O295" s="111"/>
      <c r="P295" s="111"/>
      <c r="Q295" s="111"/>
    </row>
    <row r="296" spans="13:17">
      <c r="M296" s="111"/>
      <c r="N296" s="111"/>
      <c r="O296" s="111"/>
      <c r="P296" s="111"/>
      <c r="Q296" s="111"/>
    </row>
    <row r="297" spans="13:17">
      <c r="M297" s="111"/>
      <c r="N297" s="111"/>
      <c r="O297" s="111"/>
      <c r="P297" s="111"/>
      <c r="Q297" s="111"/>
    </row>
    <row r="298" spans="13:17">
      <c r="M298" s="111"/>
      <c r="N298" s="111"/>
      <c r="O298" s="111"/>
      <c r="P298" s="111"/>
      <c r="Q298" s="111"/>
    </row>
    <row r="299" spans="13:17">
      <c r="M299" s="111"/>
      <c r="N299" s="111"/>
      <c r="O299" s="111"/>
      <c r="P299" s="111"/>
      <c r="Q299" s="111"/>
    </row>
    <row r="300" spans="13:17">
      <c r="M300" s="111"/>
      <c r="N300" s="111"/>
      <c r="O300" s="111"/>
      <c r="P300" s="111"/>
      <c r="Q300" s="111"/>
    </row>
    <row r="301" spans="13:17">
      <c r="M301" s="111"/>
      <c r="N301" s="111"/>
      <c r="O301" s="111"/>
      <c r="P301" s="111"/>
      <c r="Q301" s="111"/>
    </row>
    <row r="302" spans="13:17">
      <c r="M302" s="111"/>
      <c r="N302" s="111"/>
      <c r="O302" s="111"/>
      <c r="P302" s="111"/>
      <c r="Q302" s="111"/>
    </row>
    <row r="303" spans="13:17">
      <c r="M303" s="111"/>
      <c r="N303" s="111"/>
      <c r="O303" s="111"/>
      <c r="P303" s="111"/>
      <c r="Q303" s="111"/>
    </row>
    <row r="304" spans="13:17">
      <c r="M304" s="111"/>
      <c r="N304" s="111"/>
      <c r="O304" s="111"/>
      <c r="P304" s="111"/>
      <c r="Q304" s="111"/>
    </row>
    <row r="305" spans="13:17">
      <c r="M305" s="111"/>
      <c r="N305" s="111"/>
      <c r="O305" s="111"/>
      <c r="P305" s="111"/>
      <c r="Q305" s="111"/>
    </row>
    <row r="306" spans="13:17">
      <c r="M306" s="111"/>
      <c r="N306" s="111"/>
      <c r="O306" s="111"/>
      <c r="P306" s="111"/>
      <c r="Q306" s="111"/>
    </row>
    <row r="307" spans="13:17">
      <c r="M307" s="111"/>
      <c r="N307" s="111"/>
      <c r="O307" s="111"/>
      <c r="P307" s="111"/>
      <c r="Q307" s="111"/>
    </row>
    <row r="308" spans="13:17">
      <c r="M308" s="111"/>
      <c r="N308" s="111"/>
      <c r="O308" s="111"/>
      <c r="P308" s="111"/>
      <c r="Q308" s="111"/>
    </row>
    <row r="309" spans="13:17">
      <c r="M309" s="111"/>
      <c r="N309" s="111"/>
      <c r="O309" s="111"/>
      <c r="P309" s="111"/>
      <c r="Q309" s="111"/>
    </row>
    <row r="310" spans="13:17">
      <c r="M310" s="111"/>
      <c r="N310" s="111"/>
      <c r="O310" s="111"/>
      <c r="P310" s="111"/>
      <c r="Q310" s="111"/>
    </row>
    <row r="311" spans="13:17">
      <c r="M311" s="111"/>
      <c r="N311" s="111"/>
      <c r="O311" s="111"/>
      <c r="P311" s="111"/>
      <c r="Q311" s="111"/>
    </row>
    <row r="312" spans="13:17">
      <c r="M312" s="111"/>
      <c r="N312" s="111"/>
      <c r="O312" s="111"/>
      <c r="P312" s="111"/>
      <c r="Q312" s="111"/>
    </row>
    <row r="313" spans="13:17">
      <c r="M313" s="111"/>
      <c r="N313" s="111"/>
      <c r="O313" s="111"/>
      <c r="P313" s="111"/>
      <c r="Q313" s="111"/>
    </row>
    <row r="314" spans="13:17">
      <c r="M314" s="111"/>
      <c r="N314" s="111"/>
      <c r="O314" s="111"/>
      <c r="P314" s="111"/>
      <c r="Q314" s="111"/>
    </row>
    <row r="315" spans="13:17">
      <c r="M315" s="111"/>
      <c r="N315" s="111"/>
      <c r="O315" s="111"/>
      <c r="P315" s="111"/>
      <c r="Q315" s="111"/>
    </row>
    <row r="316" spans="13:17">
      <c r="M316" s="111"/>
      <c r="N316" s="111"/>
      <c r="O316" s="111"/>
      <c r="P316" s="111"/>
      <c r="Q316" s="111"/>
    </row>
    <row r="317" spans="13:17">
      <c r="M317" s="111"/>
      <c r="N317" s="111"/>
      <c r="O317" s="111"/>
      <c r="P317" s="111"/>
      <c r="Q317" s="111"/>
    </row>
    <row r="318" spans="13:17">
      <c r="M318" s="111"/>
      <c r="N318" s="111"/>
      <c r="O318" s="111"/>
      <c r="P318" s="111"/>
      <c r="Q318" s="111"/>
    </row>
    <row r="319" spans="13:17">
      <c r="M319" s="111"/>
      <c r="N319" s="111"/>
      <c r="O319" s="111"/>
      <c r="P319" s="111"/>
      <c r="Q319" s="111"/>
    </row>
    <row r="320" spans="13:17">
      <c r="M320" s="111"/>
      <c r="N320" s="111"/>
      <c r="O320" s="111"/>
      <c r="P320" s="111"/>
      <c r="Q320" s="111"/>
    </row>
    <row r="321" spans="13:17">
      <c r="M321" s="111"/>
      <c r="N321" s="111"/>
      <c r="O321" s="111"/>
      <c r="P321" s="111"/>
      <c r="Q321" s="111"/>
    </row>
    <row r="322" spans="13:17">
      <c r="M322" s="111"/>
      <c r="N322" s="111"/>
      <c r="O322" s="111"/>
      <c r="P322" s="111"/>
      <c r="Q322" s="111"/>
    </row>
    <row r="323" spans="13:17">
      <c r="M323" s="111"/>
      <c r="N323" s="111"/>
      <c r="O323" s="111"/>
      <c r="P323" s="111"/>
      <c r="Q323" s="111"/>
    </row>
    <row r="324" spans="13:17">
      <c r="M324" s="111"/>
      <c r="N324" s="111"/>
      <c r="O324" s="111"/>
      <c r="P324" s="111"/>
      <c r="Q324" s="111"/>
    </row>
    <row r="325" spans="13:17">
      <c r="M325" s="111"/>
      <c r="N325" s="111"/>
      <c r="O325" s="111"/>
      <c r="P325" s="111"/>
      <c r="Q325" s="111"/>
    </row>
    <row r="326" spans="13:17">
      <c r="M326" s="111"/>
      <c r="N326" s="111"/>
      <c r="O326" s="111"/>
      <c r="P326" s="111"/>
      <c r="Q326" s="111"/>
    </row>
    <row r="327" spans="13:17">
      <c r="M327" s="111"/>
      <c r="N327" s="111"/>
      <c r="O327" s="111"/>
      <c r="P327" s="111"/>
      <c r="Q327" s="111"/>
    </row>
    <row r="328" spans="13:17">
      <c r="M328" s="111"/>
      <c r="N328" s="111"/>
      <c r="O328" s="111"/>
      <c r="P328" s="111"/>
      <c r="Q328" s="111"/>
    </row>
    <row r="329" spans="13:17">
      <c r="M329" s="111"/>
      <c r="N329" s="111"/>
      <c r="O329" s="111"/>
      <c r="P329" s="111"/>
      <c r="Q329" s="111"/>
    </row>
    <row r="330" spans="13:17">
      <c r="M330" s="111"/>
      <c r="N330" s="111"/>
      <c r="O330" s="111"/>
      <c r="P330" s="111"/>
      <c r="Q330" s="111"/>
    </row>
    <row r="331" spans="13:17">
      <c r="M331" s="111"/>
      <c r="N331" s="111"/>
      <c r="O331" s="111"/>
      <c r="P331" s="111"/>
      <c r="Q331" s="111"/>
    </row>
    <row r="332" spans="13:17">
      <c r="M332" s="111"/>
      <c r="N332" s="111"/>
      <c r="O332" s="111"/>
      <c r="P332" s="111"/>
      <c r="Q332" s="111"/>
    </row>
  </sheetData>
  <pageMargins left="0.70866141732283472" right="0.70866141732283472" top="0.78740157480314965" bottom="0.78740157480314965" header="0.31496062992125984" footer="0.31496062992125984"/>
  <pageSetup paperSize="9" scale="39"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23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8" customWidth="1"/>
    <col min="2" max="2" width="51.81640625" style="18" customWidth="1"/>
    <col min="3" max="3" width="30.54296875" style="18" customWidth="1"/>
    <col min="4" max="4" width="18.81640625" style="18" customWidth="1"/>
    <col min="5" max="5" width="6.81640625" style="18" customWidth="1"/>
    <col min="6" max="6" width="18.81640625" style="18" customWidth="1"/>
    <col min="7" max="7" width="6.81640625" style="18" customWidth="1"/>
    <col min="8" max="8" width="18.81640625" style="18" customWidth="1"/>
    <col min="9" max="9" width="6.81640625" style="18" customWidth="1"/>
    <col min="10" max="10" width="18.81640625" style="18" customWidth="1"/>
    <col min="11" max="11" width="1.1796875" style="18" customWidth="1"/>
    <col min="12" max="12" width="3.1796875" style="18" customWidth="1"/>
    <col min="13" max="16" width="9.1796875" style="18"/>
    <col min="17" max="17" width="15.1796875" style="18" bestFit="1" customWidth="1"/>
    <col min="18"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45911</v>
      </c>
      <c r="G2" s="116"/>
      <c r="H2" s="116"/>
      <c r="I2" s="116"/>
      <c r="J2" s="118"/>
      <c r="K2" s="321"/>
    </row>
    <row r="3" spans="1:13" ht="18">
      <c r="A3" s="114"/>
      <c r="B3" s="42" t="str">
        <f>'Cover Sheet'!B3</f>
        <v>Monthly Investor Report</v>
      </c>
      <c r="C3" s="42"/>
      <c r="D3" s="121" t="str">
        <f>'Cover Sheet'!D3</f>
        <v>Payment Date</v>
      </c>
      <c r="E3" s="122"/>
      <c r="F3" s="123">
        <f>'Cover Sheet'!F3</f>
        <v>45915</v>
      </c>
      <c r="G3" s="122"/>
      <c r="H3" s="122"/>
      <c r="I3" s="122"/>
      <c r="J3" s="124"/>
      <c r="K3" s="134"/>
    </row>
    <row r="4" spans="1:13" ht="13">
      <c r="A4" s="114"/>
      <c r="B4" s="120"/>
      <c r="C4" s="99"/>
      <c r="D4" s="121" t="str">
        <f>'Cover Sheet'!D4</f>
        <v>Period  No</v>
      </c>
      <c r="E4" s="122"/>
      <c r="F4" s="126">
        <f>'Cover Sheet'!F4</f>
        <v>16</v>
      </c>
      <c r="G4" s="122"/>
      <c r="H4" s="127"/>
      <c r="I4" s="122"/>
      <c r="J4" s="128"/>
      <c r="K4" s="321"/>
    </row>
    <row r="5" spans="1:13" ht="18">
      <c r="A5" s="114"/>
      <c r="B5" s="129" t="s">
        <v>362</v>
      </c>
      <c r="C5" s="129"/>
      <c r="D5" s="121" t="str">
        <f>'Cover Sheet'!D5</f>
        <v>Monthly Period</v>
      </c>
      <c r="E5" s="122"/>
      <c r="F5" s="130">
        <f>'Cover Sheet'!F5</f>
        <v>45915</v>
      </c>
      <c r="G5" s="122"/>
      <c r="H5" s="127"/>
      <c r="I5" s="122"/>
      <c r="J5" s="128"/>
      <c r="K5" s="134"/>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22"/>
      <c r="J7" s="162"/>
      <c r="K7" s="134"/>
    </row>
    <row r="8" spans="1:13" ht="13">
      <c r="A8" s="114"/>
      <c r="E8" s="142"/>
      <c r="F8" s="81"/>
      <c r="G8" s="142"/>
      <c r="I8" s="163"/>
      <c r="K8" s="134"/>
    </row>
    <row r="9" spans="1:13" ht="13">
      <c r="A9" s="114"/>
      <c r="K9" s="119"/>
      <c r="M9" s="32"/>
    </row>
    <row r="10" spans="1:13">
      <c r="A10" s="114"/>
      <c r="F10" s="111"/>
      <c r="K10" s="119"/>
    </row>
    <row r="11" spans="1:13" ht="17.5">
      <c r="A11" s="114"/>
      <c r="B11" s="165"/>
      <c r="G11" s="323"/>
      <c r="H11" s="323"/>
      <c r="K11" s="119"/>
      <c r="M11" s="111"/>
    </row>
    <row r="12" spans="1:13">
      <c r="A12" s="114"/>
      <c r="G12" s="323"/>
      <c r="H12" s="323"/>
      <c r="K12" s="119"/>
      <c r="M12" s="111"/>
    </row>
    <row r="13" spans="1:13" ht="15" customHeight="1">
      <c r="A13" s="114"/>
      <c r="C13" s="84"/>
      <c r="D13" s="84"/>
      <c r="E13" s="84"/>
      <c r="F13" s="84"/>
      <c r="G13" s="324"/>
      <c r="H13" s="324"/>
      <c r="I13" s="324"/>
      <c r="K13" s="119"/>
      <c r="M13" s="111"/>
    </row>
    <row r="14" spans="1:13" ht="12.75" customHeight="1">
      <c r="A14" s="114"/>
      <c r="B14" s="904" t="s">
        <v>254</v>
      </c>
      <c r="C14" s="904"/>
      <c r="D14" s="904"/>
      <c r="E14" s="904"/>
      <c r="F14" s="904"/>
      <c r="G14" s="904"/>
      <c r="H14" s="324"/>
      <c r="I14" s="324"/>
      <c r="K14" s="119"/>
      <c r="M14" s="111"/>
    </row>
    <row r="15" spans="1:13" ht="12.75" customHeight="1">
      <c r="A15" s="114"/>
      <c r="B15" s="904"/>
      <c r="C15" s="904"/>
      <c r="D15" s="904"/>
      <c r="E15" s="904"/>
      <c r="F15" s="904"/>
      <c r="G15" s="904"/>
      <c r="H15" s="324"/>
      <c r="I15" s="324"/>
      <c r="K15" s="119"/>
      <c r="M15" s="111"/>
    </row>
    <row r="16" spans="1:13" ht="12.75" customHeight="1">
      <c r="A16" s="114"/>
      <c r="B16" s="904"/>
      <c r="C16" s="904"/>
      <c r="D16" s="904"/>
      <c r="E16" s="904"/>
      <c r="F16" s="904"/>
      <c r="G16" s="904"/>
      <c r="H16" s="324"/>
      <c r="I16" s="324"/>
      <c r="K16" s="119"/>
      <c r="M16" s="111"/>
    </row>
    <row r="17" spans="1:13" ht="24" customHeight="1">
      <c r="A17" s="114"/>
      <c r="B17" s="904"/>
      <c r="C17" s="904"/>
      <c r="D17" s="904"/>
      <c r="E17" s="904"/>
      <c r="F17" s="904"/>
      <c r="G17" s="904"/>
      <c r="H17" s="324"/>
      <c r="I17" s="324"/>
      <c r="K17" s="119"/>
      <c r="M17" s="111"/>
    </row>
    <row r="18" spans="1:13" ht="12.75" customHeight="1">
      <c r="A18" s="114"/>
      <c r="C18" s="12"/>
      <c r="E18" s="325"/>
      <c r="F18" s="206"/>
      <c r="G18" s="326"/>
      <c r="H18" s="206"/>
      <c r="I18" s="206"/>
      <c r="K18" s="119"/>
      <c r="M18" s="111"/>
    </row>
    <row r="19" spans="1:13">
      <c r="A19" s="114"/>
      <c r="B19" s="86" t="s">
        <v>308</v>
      </c>
      <c r="C19" s="87"/>
      <c r="D19" s="862">
        <f>VLOOKUP("Retention_amt",Assets_Daten,3,0)</f>
        <v>56353431.509999909</v>
      </c>
      <c r="E19" s="81"/>
      <c r="H19" s="81"/>
      <c r="K19" s="119"/>
      <c r="M19" s="111"/>
    </row>
    <row r="20" spans="1:13">
      <c r="A20" s="114"/>
      <c r="B20" s="40"/>
      <c r="C20" s="12"/>
      <c r="H20" s="327"/>
      <c r="K20" s="119"/>
      <c r="M20" s="111"/>
    </row>
    <row r="21" spans="1:13">
      <c r="A21" s="114"/>
      <c r="B21" s="13"/>
      <c r="C21" s="12"/>
      <c r="K21" s="119"/>
      <c r="M21" s="111"/>
    </row>
    <row r="22" spans="1:13">
      <c r="A22" s="114"/>
      <c r="B22" s="13"/>
      <c r="C22" s="12"/>
      <c r="K22" s="119"/>
      <c r="M22" s="111"/>
    </row>
    <row r="23" spans="1:13">
      <c r="A23" s="114"/>
      <c r="B23" s="13"/>
      <c r="C23" s="12"/>
      <c r="K23" s="119"/>
      <c r="M23" s="111"/>
    </row>
    <row r="24" spans="1:13">
      <c r="A24" s="150"/>
      <c r="B24" s="26"/>
      <c r="C24" s="10"/>
      <c r="D24" s="51"/>
      <c r="E24" s="51"/>
      <c r="F24" s="328"/>
      <c r="G24" s="51"/>
      <c r="H24" s="51"/>
      <c r="I24" s="51"/>
      <c r="J24" s="51"/>
      <c r="K24" s="152"/>
      <c r="M24" s="111"/>
    </row>
    <row r="25" spans="1:13">
      <c r="B25" s="13"/>
      <c r="C25" s="12"/>
      <c r="M25" s="111"/>
    </row>
    <row r="26" spans="1:13">
      <c r="B26" s="13"/>
      <c r="C26" s="12"/>
      <c r="M26" s="111"/>
    </row>
    <row r="27" spans="1:13">
      <c r="B27" s="13"/>
      <c r="C27" s="12"/>
      <c r="M27" s="111"/>
    </row>
    <row r="28" spans="1:13">
      <c r="B28" s="13"/>
      <c r="C28" s="12"/>
      <c r="F28" s="197"/>
      <c r="G28" s="329"/>
      <c r="H28" s="41"/>
      <c r="I28" s="111"/>
      <c r="J28" s="111"/>
    </row>
    <row r="29" spans="1:13">
      <c r="B29" s="13"/>
      <c r="C29" s="12"/>
      <c r="D29" s="184"/>
      <c r="E29" s="12"/>
      <c r="F29" s="185"/>
      <c r="G29" s="186"/>
      <c r="H29" s="185"/>
      <c r="I29" s="111"/>
    </row>
    <row r="30" spans="1:13">
      <c r="B30" s="13"/>
      <c r="C30" s="12"/>
      <c r="D30" s="184"/>
      <c r="E30" s="12"/>
      <c r="F30" s="185"/>
      <c r="G30" s="186"/>
      <c r="H30" s="185"/>
      <c r="I30" s="111"/>
    </row>
    <row r="31" spans="1:13">
      <c r="B31" s="13"/>
      <c r="C31" s="12"/>
      <c r="D31" s="184"/>
      <c r="E31" s="12"/>
      <c r="F31" s="185"/>
      <c r="G31" s="186"/>
      <c r="H31" s="185"/>
      <c r="I31" s="111"/>
    </row>
    <row r="32" spans="1:13">
      <c r="B32" s="13"/>
      <c r="C32" s="12"/>
      <c r="D32" s="184"/>
      <c r="E32" s="12"/>
      <c r="F32" s="330"/>
      <c r="G32" s="186"/>
      <c r="H32" s="185"/>
      <c r="I32" s="111"/>
    </row>
    <row r="33" spans="2:9">
      <c r="B33" s="13"/>
      <c r="C33" s="12"/>
      <c r="D33" s="184"/>
      <c r="E33" s="12"/>
      <c r="F33" s="185"/>
      <c r="G33" s="186"/>
      <c r="H33" s="185"/>
      <c r="I33" s="111"/>
    </row>
    <row r="34" spans="2:9" ht="15" customHeight="1">
      <c r="B34" s="13"/>
      <c r="C34" s="12"/>
      <c r="D34" s="184"/>
      <c r="E34" s="12"/>
      <c r="F34" s="185"/>
      <c r="G34" s="186"/>
      <c r="H34" s="185"/>
      <c r="I34" s="111"/>
    </row>
    <row r="35" spans="2:9">
      <c r="B35" s="13"/>
      <c r="C35" s="12"/>
      <c r="D35" s="184"/>
      <c r="E35" s="12"/>
      <c r="F35" s="185"/>
      <c r="G35" s="186"/>
      <c r="H35" s="185"/>
      <c r="I35" s="111"/>
    </row>
    <row r="36" spans="2:9">
      <c r="B36" s="13"/>
      <c r="C36" s="12"/>
      <c r="D36" s="184"/>
      <c r="E36" s="12"/>
      <c r="F36" s="185"/>
      <c r="G36" s="186"/>
      <c r="H36" s="185"/>
      <c r="I36" s="111"/>
    </row>
    <row r="37" spans="2:9">
      <c r="B37" s="13"/>
      <c r="C37" s="12"/>
      <c r="D37" s="184"/>
      <c r="E37" s="12"/>
      <c r="F37" s="185"/>
      <c r="G37" s="186"/>
      <c r="H37" s="185"/>
      <c r="I37" s="111"/>
    </row>
    <row r="38" spans="2:9">
      <c r="B38" s="13"/>
      <c r="C38" s="12"/>
      <c r="D38" s="184"/>
      <c r="E38" s="12"/>
      <c r="F38" s="185"/>
      <c r="G38" s="186"/>
      <c r="H38" s="185"/>
      <c r="I38" s="111"/>
    </row>
    <row r="39" spans="2:9">
      <c r="B39" s="13"/>
      <c r="C39" s="12"/>
      <c r="D39" s="184"/>
      <c r="E39" s="12"/>
      <c r="F39" s="185"/>
      <c r="G39" s="186"/>
      <c r="H39" s="185"/>
      <c r="I39" s="111"/>
    </row>
    <row r="40" spans="2:9">
      <c r="B40" s="13"/>
      <c r="C40" s="12"/>
      <c r="D40" s="184"/>
      <c r="E40" s="12"/>
      <c r="F40" s="185"/>
      <c r="G40" s="186"/>
      <c r="H40" s="185"/>
      <c r="I40" s="111"/>
    </row>
    <row r="41" spans="2:9">
      <c r="B41" s="13"/>
      <c r="C41" s="12"/>
      <c r="D41" s="184"/>
      <c r="E41" s="12"/>
      <c r="F41" s="185"/>
      <c r="G41" s="186"/>
      <c r="H41" s="185"/>
      <c r="I41" s="111"/>
    </row>
    <row r="42" spans="2:9">
      <c r="B42" s="13"/>
      <c r="C42" s="12"/>
      <c r="D42" s="184"/>
      <c r="E42" s="12"/>
      <c r="F42" s="185"/>
      <c r="G42" s="186"/>
      <c r="H42" s="185"/>
      <c r="I42" s="111"/>
    </row>
    <row r="43" spans="2:9">
      <c r="B43" s="13"/>
      <c r="C43" s="12"/>
      <c r="D43" s="184"/>
      <c r="E43" s="12"/>
      <c r="F43" s="185"/>
      <c r="G43" s="186"/>
      <c r="H43" s="185"/>
      <c r="I43" s="111"/>
    </row>
    <row r="44" spans="2:9" ht="18">
      <c r="B44" s="13"/>
      <c r="C44" s="12"/>
      <c r="D44" s="42"/>
      <c r="E44" s="12"/>
      <c r="F44" s="185"/>
      <c r="G44" s="186"/>
      <c r="H44" s="185"/>
      <c r="I44" s="111"/>
    </row>
    <row r="45" spans="2:9">
      <c r="B45" s="13"/>
      <c r="C45" s="12"/>
      <c r="D45" s="184"/>
      <c r="E45" s="12"/>
      <c r="F45" s="185"/>
      <c r="G45" s="186"/>
      <c r="H45" s="185"/>
      <c r="I45" s="111"/>
    </row>
    <row r="46" spans="2:9">
      <c r="B46" s="13"/>
      <c r="C46" s="12"/>
      <c r="D46" s="184"/>
      <c r="E46" s="12"/>
      <c r="F46" s="185"/>
      <c r="G46" s="186"/>
      <c r="H46" s="185"/>
      <c r="I46" s="111"/>
    </row>
    <row r="47" spans="2:9">
      <c r="B47" s="13"/>
      <c r="C47" s="12"/>
      <c r="D47" s="184"/>
      <c r="E47" s="12"/>
      <c r="F47" s="185"/>
      <c r="G47" s="186"/>
      <c r="H47" s="185"/>
      <c r="I47" s="111"/>
    </row>
    <row r="48" spans="2:9">
      <c r="B48" s="13"/>
      <c r="C48" s="12"/>
      <c r="D48" s="184"/>
      <c r="E48" s="12"/>
      <c r="F48" s="185"/>
      <c r="G48" s="186"/>
      <c r="H48" s="185"/>
      <c r="I48" s="111"/>
    </row>
    <row r="49" spans="2:9">
      <c r="B49" s="13"/>
      <c r="C49" s="12"/>
      <c r="D49" s="184"/>
      <c r="E49" s="12"/>
      <c r="F49" s="185"/>
      <c r="G49" s="186"/>
      <c r="H49" s="185"/>
      <c r="I49" s="111"/>
    </row>
    <row r="50" spans="2:9">
      <c r="B50" s="13"/>
      <c r="C50" s="12"/>
      <c r="D50" s="184"/>
      <c r="E50" s="12"/>
      <c r="F50" s="185"/>
      <c r="G50" s="186"/>
      <c r="H50" s="185"/>
      <c r="I50" s="111"/>
    </row>
    <row r="51" spans="2:9">
      <c r="B51" s="13"/>
      <c r="C51" s="12"/>
      <c r="D51" s="184"/>
      <c r="E51" s="12"/>
      <c r="F51" s="185"/>
      <c r="G51" s="186"/>
      <c r="H51" s="185"/>
      <c r="I51" s="111"/>
    </row>
    <row r="52" spans="2:9">
      <c r="B52" s="13"/>
      <c r="C52" s="12"/>
      <c r="D52" s="184"/>
      <c r="E52" s="12"/>
      <c r="F52" s="185"/>
      <c r="G52" s="186"/>
      <c r="H52" s="185"/>
      <c r="I52" s="111"/>
    </row>
    <row r="53" spans="2:9">
      <c r="B53" s="13"/>
      <c r="C53" s="12"/>
      <c r="D53" s="184"/>
      <c r="E53" s="12"/>
      <c r="F53" s="185"/>
      <c r="G53" s="186"/>
      <c r="H53" s="185"/>
      <c r="I53" s="111"/>
    </row>
    <row r="54" spans="2:9">
      <c r="B54" s="13"/>
      <c r="C54" s="12"/>
      <c r="D54" s="184"/>
      <c r="E54" s="12"/>
      <c r="F54" s="185"/>
      <c r="G54" s="186"/>
      <c r="H54" s="185"/>
      <c r="I54" s="111"/>
    </row>
    <row r="55" spans="2:9">
      <c r="B55" s="13"/>
      <c r="C55" s="12"/>
      <c r="D55" s="184"/>
      <c r="E55" s="12"/>
      <c r="F55" s="185"/>
      <c r="G55" s="186"/>
      <c r="H55" s="185"/>
      <c r="I55" s="111"/>
    </row>
    <row r="56" spans="2:9">
      <c r="B56" s="13"/>
      <c r="C56" s="12"/>
      <c r="D56" s="184"/>
      <c r="E56" s="12"/>
      <c r="F56" s="185"/>
      <c r="G56" s="186"/>
      <c r="H56" s="185"/>
      <c r="I56" s="111"/>
    </row>
    <row r="57" spans="2:9">
      <c r="B57" s="13"/>
      <c r="C57" s="12"/>
      <c r="D57" s="184"/>
      <c r="E57" s="12"/>
      <c r="F57" s="185"/>
      <c r="G57" s="186"/>
      <c r="H57" s="185"/>
      <c r="I57" s="111"/>
    </row>
    <row r="58" spans="2:9">
      <c r="B58" s="13"/>
      <c r="C58" s="12"/>
      <c r="D58" s="184"/>
      <c r="E58" s="12"/>
      <c r="F58" s="185"/>
      <c r="G58" s="186"/>
      <c r="H58" s="185"/>
      <c r="I58" s="111"/>
    </row>
    <row r="59" spans="2:9">
      <c r="B59" s="13"/>
      <c r="C59" s="12"/>
      <c r="D59" s="184"/>
      <c r="E59" s="12"/>
      <c r="F59" s="185"/>
      <c r="G59" s="186"/>
      <c r="H59" s="185"/>
      <c r="I59" s="111"/>
    </row>
    <row r="60" spans="2:9">
      <c r="B60" s="13"/>
      <c r="C60" s="12"/>
      <c r="D60" s="184"/>
      <c r="E60" s="12"/>
      <c r="F60" s="185"/>
      <c r="G60" s="186"/>
      <c r="H60" s="185"/>
      <c r="I60" s="111"/>
    </row>
    <row r="61" spans="2:9">
      <c r="B61" s="13"/>
      <c r="C61" s="12"/>
      <c r="D61" s="184"/>
      <c r="E61" s="12"/>
      <c r="F61" s="185"/>
      <c r="G61" s="186"/>
      <c r="H61" s="185"/>
      <c r="I61" s="111"/>
    </row>
    <row r="62" spans="2:9">
      <c r="B62" s="13"/>
      <c r="C62" s="12"/>
      <c r="D62" s="184"/>
      <c r="E62" s="12"/>
      <c r="F62" s="185"/>
      <c r="G62" s="186"/>
      <c r="H62" s="185"/>
      <c r="I62" s="111"/>
    </row>
    <row r="63" spans="2:9">
      <c r="B63" s="13"/>
      <c r="C63" s="12"/>
      <c r="D63" s="184"/>
      <c r="E63" s="12"/>
      <c r="F63" s="185"/>
      <c r="G63" s="186"/>
      <c r="H63" s="185"/>
      <c r="I63" s="111"/>
    </row>
    <row r="64" spans="2:9">
      <c r="B64" s="13"/>
      <c r="C64" s="12"/>
      <c r="D64" s="187"/>
      <c r="E64" s="188"/>
      <c r="F64" s="219"/>
      <c r="G64" s="190"/>
      <c r="H64" s="219"/>
      <c r="I64" s="111"/>
    </row>
    <row r="65" spans="2:9">
      <c r="B65" s="13"/>
      <c r="C65" s="12"/>
      <c r="D65" s="187"/>
      <c r="E65" s="187"/>
      <c r="F65" s="187"/>
      <c r="G65" s="187"/>
      <c r="H65" s="187"/>
      <c r="I65" s="111"/>
    </row>
    <row r="66" spans="2:9">
      <c r="B66" s="13"/>
      <c r="C66" s="12"/>
      <c r="D66" s="187"/>
      <c r="E66" s="187"/>
      <c r="F66" s="187"/>
      <c r="G66" s="187"/>
      <c r="H66" s="187"/>
      <c r="I66" s="111"/>
    </row>
    <row r="67" spans="2:9">
      <c r="B67" s="13"/>
      <c r="C67" s="12"/>
      <c r="D67" s="191"/>
      <c r="E67" s="220"/>
      <c r="F67" s="187"/>
      <c r="G67" s="187"/>
      <c r="H67" s="187"/>
      <c r="I67" s="111"/>
    </row>
    <row r="68" spans="2:9">
      <c r="B68" s="13"/>
      <c r="C68" s="12"/>
      <c r="D68" s="188"/>
      <c r="E68" s="220"/>
      <c r="F68" s="187"/>
      <c r="G68" s="187"/>
      <c r="H68" s="187"/>
      <c r="I68" s="111"/>
    </row>
    <row r="69" spans="2:9">
      <c r="B69" s="13"/>
      <c r="C69" s="12"/>
      <c r="D69" s="187"/>
      <c r="E69" s="220"/>
      <c r="F69" s="187"/>
      <c r="G69" s="187"/>
      <c r="H69" s="187"/>
      <c r="I69" s="111"/>
    </row>
    <row r="70" spans="2:9" ht="14">
      <c r="B70" s="187"/>
      <c r="C70" s="188"/>
      <c r="D70" s="193"/>
      <c r="E70" s="193"/>
      <c r="F70" s="193"/>
      <c r="G70" s="193"/>
      <c r="H70" s="193"/>
      <c r="I70" s="111"/>
    </row>
    <row r="71" spans="2:9" ht="14">
      <c r="D71" s="193"/>
      <c r="E71" s="193"/>
      <c r="F71" s="193"/>
      <c r="G71" s="193"/>
      <c r="H71" s="193"/>
      <c r="I71" s="111"/>
    </row>
    <row r="72" spans="2:9" ht="14">
      <c r="D72" s="194"/>
      <c r="E72" s="221"/>
      <c r="F72" s="193"/>
      <c r="G72" s="193"/>
      <c r="H72" s="193"/>
      <c r="I72" s="111"/>
    </row>
    <row r="73" spans="2:9" ht="14">
      <c r="B73" s="191"/>
      <c r="C73" s="220"/>
      <c r="D73" s="196"/>
      <c r="E73" s="221"/>
      <c r="F73" s="193"/>
      <c r="G73" s="193"/>
      <c r="H73" s="193"/>
      <c r="I73" s="111"/>
    </row>
    <row r="74" spans="2:9" ht="14">
      <c r="B74" s="197"/>
      <c r="C74" s="220"/>
      <c r="D74" s="193"/>
      <c r="E74" s="221"/>
      <c r="F74" s="193"/>
      <c r="G74" s="193"/>
      <c r="H74" s="193"/>
      <c r="I74" s="111"/>
    </row>
    <row r="75" spans="2:9">
      <c r="C75" s="220"/>
      <c r="I75" s="111"/>
    </row>
    <row r="76" spans="2:9">
      <c r="I76" s="111"/>
    </row>
    <row r="77" spans="2:9">
      <c r="I77" s="111"/>
    </row>
    <row r="78" spans="2:9">
      <c r="I78" s="111"/>
    </row>
    <row r="79" spans="2:9">
      <c r="I79" s="111"/>
    </row>
    <row r="80" spans="2: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P2247"/>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2" customWidth="1"/>
    <col min="2" max="2" width="51.54296875" style="22" customWidth="1"/>
    <col min="3" max="3" width="47.1796875" style="22" bestFit="1" customWidth="1"/>
    <col min="4" max="4" width="10.81640625" style="22" customWidth="1"/>
    <col min="5" max="5" width="12.1796875" style="22" customWidth="1"/>
    <col min="6" max="6" width="10.1796875" style="22" customWidth="1"/>
    <col min="7" max="10" width="10.81640625" style="22" customWidth="1"/>
    <col min="11" max="11" width="12.90625" style="22" customWidth="1"/>
    <col min="12" max="13" width="10.81640625" style="22" customWidth="1"/>
    <col min="14" max="14" width="12.1796875" style="22" customWidth="1"/>
    <col min="15" max="15" width="10.81640625" style="22" customWidth="1"/>
    <col min="16" max="16" width="1.1796875" style="22" customWidth="1"/>
    <col min="17" max="16384" width="9.1796875" style="22"/>
  </cols>
  <sheetData>
    <row r="1" spans="1:16" ht="6" customHeight="1">
      <c r="A1" s="222"/>
      <c r="B1" s="223"/>
      <c r="C1" s="223"/>
      <c r="D1" s="223"/>
      <c r="E1" s="223"/>
      <c r="F1" s="223"/>
      <c r="G1" s="223"/>
      <c r="H1" s="223"/>
      <c r="I1" s="223"/>
      <c r="J1" s="223"/>
      <c r="K1" s="223"/>
      <c r="L1" s="223"/>
      <c r="M1" s="223"/>
      <c r="N1" s="223"/>
      <c r="O1" s="223"/>
      <c r="P1" s="224"/>
    </row>
    <row r="2" spans="1:16" ht="18">
      <c r="A2" s="225"/>
      <c r="B2" s="226" t="str">
        <f>'Cover Sheet'!B2</f>
        <v>SC Germany Consumer 2024-1</v>
      </c>
      <c r="C2" s="226"/>
      <c r="D2" s="911" t="str">
        <f>'Cover Sheet'!D2</f>
        <v>Calculation Date</v>
      </c>
      <c r="E2" s="912"/>
      <c r="F2" s="228"/>
      <c r="G2" s="117">
        <f>'Cover Sheet'!F2</f>
        <v>45911</v>
      </c>
      <c r="H2" s="314"/>
      <c r="I2" s="228"/>
      <c r="J2" s="228"/>
      <c r="K2" s="228"/>
      <c r="L2" s="228"/>
      <c r="M2" s="228"/>
      <c r="N2" s="230"/>
      <c r="P2" s="94"/>
    </row>
    <row r="3" spans="1:16" ht="18">
      <c r="A3" s="225"/>
      <c r="B3" s="226" t="str">
        <f>'Cover Sheet'!B3</f>
        <v>Monthly Investor Report</v>
      </c>
      <c r="C3" s="226"/>
      <c r="D3" s="913" t="str">
        <f>'Cover Sheet'!D3</f>
        <v>Payment Date</v>
      </c>
      <c r="E3" s="914"/>
      <c r="F3" s="234"/>
      <c r="G3" s="123">
        <f>'Cover Sheet'!F3</f>
        <v>45915</v>
      </c>
      <c r="H3" s="315"/>
      <c r="I3" s="233"/>
      <c r="J3" s="233"/>
      <c r="K3" s="233"/>
      <c r="L3" s="233"/>
      <c r="M3" s="233"/>
      <c r="N3" s="235"/>
      <c r="P3" s="94"/>
    </row>
    <row r="4" spans="1:16">
      <c r="A4" s="225"/>
      <c r="B4" s="236"/>
      <c r="C4" s="109"/>
      <c r="D4" s="913" t="str">
        <f>'Cover Sheet'!D4</f>
        <v>Period  No</v>
      </c>
      <c r="E4" s="914"/>
      <c r="F4" s="237"/>
      <c r="G4" s="126">
        <f>'Cover Sheet'!F4</f>
        <v>16</v>
      </c>
      <c r="H4" s="316"/>
      <c r="I4" s="238"/>
      <c r="J4" s="238"/>
      <c r="K4" s="238"/>
      <c r="L4" s="238"/>
      <c r="M4" s="233"/>
      <c r="N4" s="239"/>
      <c r="P4" s="94"/>
    </row>
    <row r="5" spans="1:16" ht="18">
      <c r="A5" s="225"/>
      <c r="B5" s="240" t="s">
        <v>361</v>
      </c>
      <c r="C5" s="240"/>
      <c r="D5" s="913" t="str">
        <f>'Cover Sheet'!D5</f>
        <v>Monthly Period</v>
      </c>
      <c r="E5" s="914"/>
      <c r="F5" s="317"/>
      <c r="G5" s="130">
        <f>'Cover Sheet'!F5</f>
        <v>45915</v>
      </c>
      <c r="H5" s="233"/>
      <c r="I5" s="238"/>
      <c r="J5" s="238"/>
      <c r="K5" s="238"/>
      <c r="L5" s="238"/>
      <c r="M5" s="233"/>
      <c r="N5" s="239"/>
      <c r="P5" s="94"/>
    </row>
    <row r="6" spans="1:16" ht="15" customHeight="1">
      <c r="A6" s="225"/>
      <c r="B6" s="241"/>
      <c r="C6" s="236"/>
      <c r="D6" s="915" t="str">
        <f>'Cover Sheet'!D6</f>
        <v>Interest Period</v>
      </c>
      <c r="E6" s="914"/>
      <c r="F6" s="234" t="s">
        <v>34</v>
      </c>
      <c r="G6" s="123">
        <f>'Cover Sheet'!F6</f>
        <v>45883</v>
      </c>
      <c r="H6" s="234" t="s">
        <v>4</v>
      </c>
      <c r="I6" s="234">
        <f>'Cover Sheet'!H6</f>
        <v>45915</v>
      </c>
      <c r="J6" s="234"/>
      <c r="K6" s="234"/>
      <c r="L6" s="234"/>
      <c r="M6" s="234" t="s">
        <v>15</v>
      </c>
      <c r="N6" s="244" t="str">
        <f>'Cover Sheet'!J6</f>
        <v>32 days</v>
      </c>
      <c r="P6" s="245"/>
    </row>
    <row r="7" spans="1:16" ht="13">
      <c r="A7" s="225"/>
      <c r="D7" s="916" t="str">
        <f>'Cover Sheet'!D7</f>
        <v>Collection Period</v>
      </c>
      <c r="E7" s="917"/>
      <c r="F7" s="247" t="s">
        <v>34</v>
      </c>
      <c r="G7" s="138" t="str">
        <f>'Cover Sheet'!F7</f>
        <v>01.08.2025</v>
      </c>
      <c r="H7" s="247" t="s">
        <v>4</v>
      </c>
      <c r="I7" s="247">
        <f>'Cover Sheet'!H7</f>
        <v>45900</v>
      </c>
      <c r="J7" s="247"/>
      <c r="K7" s="247"/>
      <c r="L7" s="247"/>
      <c r="M7" s="318"/>
      <c r="N7" s="249"/>
      <c r="P7" s="94"/>
    </row>
    <row r="8" spans="1:16" ht="13">
      <c r="A8" s="225"/>
      <c r="E8" s="231"/>
      <c r="F8" s="5"/>
      <c r="G8" s="231"/>
      <c r="I8" s="250"/>
      <c r="J8" s="250"/>
      <c r="K8" s="250"/>
      <c r="L8" s="250"/>
      <c r="N8" s="78"/>
      <c r="P8" s="94"/>
    </row>
    <row r="9" spans="1:16" ht="13">
      <c r="A9" s="225"/>
      <c r="P9" s="251"/>
    </row>
    <row r="10" spans="1:16">
      <c r="A10" s="225"/>
      <c r="F10" s="252"/>
      <c r="P10" s="94"/>
    </row>
    <row r="11" spans="1:16" ht="12.75" customHeight="1">
      <c r="A11" s="225"/>
      <c r="B11" s="253"/>
      <c r="D11" s="28" t="s">
        <v>385</v>
      </c>
      <c r="E11" s="28" t="s">
        <v>386</v>
      </c>
      <c r="F11" s="28" t="s">
        <v>388</v>
      </c>
      <c r="G11" s="28" t="s">
        <v>258</v>
      </c>
      <c r="H11" s="28" t="s">
        <v>387</v>
      </c>
      <c r="I11" s="28" t="s">
        <v>238</v>
      </c>
      <c r="J11" s="30"/>
      <c r="K11" s="30"/>
      <c r="L11" s="30"/>
      <c r="M11" s="25"/>
      <c r="N11" s="25"/>
      <c r="O11" s="25"/>
      <c r="P11" s="255"/>
    </row>
    <row r="12" spans="1:16" ht="15" customHeight="1">
      <c r="A12" s="225"/>
      <c r="D12" s="908" t="s">
        <v>237</v>
      </c>
      <c r="E12" s="909"/>
      <c r="F12" s="910"/>
      <c r="G12" s="905" t="s">
        <v>527</v>
      </c>
      <c r="H12" s="906"/>
      <c r="I12" s="907"/>
      <c r="J12" s="225"/>
      <c r="L12" s="252"/>
      <c r="P12" s="94"/>
    </row>
    <row r="13" spans="1:16" ht="33" customHeight="1">
      <c r="A13" s="225"/>
      <c r="C13" s="21"/>
      <c r="D13" s="2" t="s">
        <v>107</v>
      </c>
      <c r="E13" s="2" t="s">
        <v>108</v>
      </c>
      <c r="F13" s="2" t="s">
        <v>109</v>
      </c>
      <c r="G13" s="2" t="s">
        <v>107</v>
      </c>
      <c r="H13" s="2" t="s">
        <v>108</v>
      </c>
      <c r="I13" s="2" t="s">
        <v>109</v>
      </c>
      <c r="K13" s="3" t="s">
        <v>185</v>
      </c>
      <c r="L13" s="252"/>
      <c r="P13" s="94"/>
    </row>
    <row r="14" spans="1:16" ht="12.75" customHeight="1">
      <c r="A14" s="225"/>
      <c r="D14" s="29" t="s">
        <v>258</v>
      </c>
      <c r="E14" s="29" t="s">
        <v>387</v>
      </c>
      <c r="F14" s="29" t="s">
        <v>238</v>
      </c>
      <c r="G14" s="96"/>
      <c r="H14" s="96"/>
      <c r="I14" s="92"/>
      <c r="K14" s="4"/>
      <c r="L14" s="252"/>
      <c r="P14" s="94"/>
    </row>
    <row r="15" spans="1:16" ht="12.75" customHeight="1">
      <c r="A15" s="225"/>
      <c r="B15" s="31" t="s">
        <v>399</v>
      </c>
      <c r="C15" s="68" t="s">
        <v>104</v>
      </c>
      <c r="D15" s="4" t="str">
        <f>VLOOKUP($C15,ratings,3,FALSE)</f>
        <v>A2</v>
      </c>
      <c r="E15" s="4" t="str">
        <f>VLOOKUP($C15,ratings,5,FALSE)</f>
        <v>P-1</v>
      </c>
      <c r="F15" s="4" t="str">
        <f>VLOOKUP($C15,ratings,6,FALSE)</f>
        <v>POS</v>
      </c>
      <c r="G15" s="4" t="str">
        <f>VLOOKUP($C15,ratings,13,FALSE)</f>
        <v>AH</v>
      </c>
      <c r="H15" s="4" t="str">
        <f>VLOOKUP($C15,ratings,15,FALSE)</f>
        <v>R-1M</v>
      </c>
      <c r="I15" s="4" t="str">
        <f>VLOOKUP($C15,ratings,16,FALSE)</f>
        <v>STABLE</v>
      </c>
      <c r="K15" s="4" t="s">
        <v>198</v>
      </c>
      <c r="L15" s="252"/>
      <c r="P15" s="94"/>
    </row>
    <row r="16" spans="1:16" ht="12.75" customHeight="1">
      <c r="A16" s="225"/>
      <c r="B16" s="6"/>
      <c r="C16" s="18" t="s">
        <v>754</v>
      </c>
      <c r="D16" s="33"/>
      <c r="F16" s="33"/>
      <c r="G16" s="33"/>
      <c r="H16" s="33"/>
      <c r="I16" s="94"/>
      <c r="K16" s="4"/>
      <c r="L16" s="252"/>
      <c r="P16" s="94"/>
    </row>
    <row r="17" spans="1:16" ht="12.75" customHeight="1">
      <c r="A17" s="225"/>
      <c r="B17" s="7"/>
      <c r="C17" s="18" t="s">
        <v>755</v>
      </c>
      <c r="D17" s="4"/>
      <c r="E17" s="5"/>
      <c r="F17" s="4"/>
      <c r="G17" s="4"/>
      <c r="H17" s="4"/>
      <c r="I17" s="93"/>
      <c r="K17" s="4"/>
      <c r="L17" s="252"/>
      <c r="P17" s="94"/>
    </row>
    <row r="18" spans="1:16" ht="12.75" customHeight="1">
      <c r="A18" s="225"/>
      <c r="B18" s="7"/>
      <c r="C18" s="18" t="s">
        <v>756</v>
      </c>
      <c r="D18" s="33"/>
      <c r="F18" s="33"/>
      <c r="G18" s="33"/>
      <c r="H18" s="33"/>
      <c r="I18" s="94"/>
      <c r="K18" s="4"/>
      <c r="L18" s="252"/>
      <c r="P18" s="94"/>
    </row>
    <row r="19" spans="1:16" ht="12.75" customHeight="1">
      <c r="A19" s="225"/>
      <c r="B19" s="7"/>
      <c r="C19" s="837" t="s">
        <v>757</v>
      </c>
      <c r="D19" s="33"/>
      <c r="F19" s="33"/>
      <c r="G19" s="33"/>
      <c r="H19" s="33"/>
      <c r="I19" s="94"/>
      <c r="K19" s="4"/>
      <c r="L19" s="252"/>
      <c r="P19" s="94"/>
    </row>
    <row r="20" spans="1:16" ht="12.75" customHeight="1">
      <c r="A20" s="225"/>
      <c r="B20" s="7"/>
      <c r="C20" s="18" t="s">
        <v>758</v>
      </c>
      <c r="D20" s="33"/>
      <c r="F20" s="33"/>
      <c r="G20" s="33"/>
      <c r="H20" s="33"/>
      <c r="I20" s="94"/>
      <c r="K20" s="4"/>
      <c r="L20" s="252"/>
      <c r="P20" s="94"/>
    </row>
    <row r="21" spans="1:16" ht="12.75" customHeight="1">
      <c r="A21" s="225"/>
      <c r="B21" s="7"/>
      <c r="C21" s="18" t="s">
        <v>253</v>
      </c>
      <c r="D21" s="33"/>
      <c r="F21" s="33"/>
      <c r="G21" s="33"/>
      <c r="H21" s="33"/>
      <c r="I21" s="94"/>
      <c r="K21" s="4"/>
      <c r="L21" s="252"/>
      <c r="P21" s="94"/>
    </row>
    <row r="22" spans="1:16" ht="12.75" customHeight="1">
      <c r="A22" s="225"/>
      <c r="B22" s="7"/>
      <c r="C22" s="68"/>
      <c r="D22" s="4"/>
      <c r="E22" s="5"/>
      <c r="F22" s="4"/>
      <c r="G22" s="4"/>
      <c r="H22" s="4"/>
      <c r="I22" s="93"/>
      <c r="K22" s="4"/>
      <c r="L22" s="252"/>
      <c r="P22" s="94"/>
    </row>
    <row r="23" spans="1:16" ht="12.75" customHeight="1">
      <c r="A23" s="225"/>
      <c r="B23" s="7"/>
      <c r="C23" s="68" t="s">
        <v>712</v>
      </c>
      <c r="D23" s="4" t="str">
        <f>VLOOKUP($C23,ratings,3,FALSE)</f>
        <v>Baa1</v>
      </c>
      <c r="E23" s="4" t="str">
        <f>VLOOKUP($C23,ratings,5,FALSE)</f>
        <v>-</v>
      </c>
      <c r="F23" s="4" t="str">
        <f>VLOOKUP($C23,ratings,6,FALSE)</f>
        <v>STABLE</v>
      </c>
      <c r="G23" s="4" t="str">
        <f>VLOOKUP($C23,ratings,13,FALSE)</f>
        <v>AH</v>
      </c>
      <c r="H23" s="4" t="str">
        <f>VLOOKUP($C23,ratings,15,FALSE)</f>
        <v>R-1M</v>
      </c>
      <c r="I23" s="4" t="str">
        <f>VLOOKUP($C23,ratings,16,FALSE)</f>
        <v>STABLE</v>
      </c>
      <c r="K23" s="4" t="s">
        <v>198</v>
      </c>
      <c r="L23" s="252"/>
      <c r="P23" s="94"/>
    </row>
    <row r="24" spans="1:16" ht="12.75" customHeight="1">
      <c r="A24" s="225"/>
      <c r="B24" s="7"/>
      <c r="C24" s="69" t="s">
        <v>706</v>
      </c>
      <c r="D24" s="33"/>
      <c r="F24" s="33"/>
      <c r="G24" s="33"/>
      <c r="H24" s="33"/>
      <c r="I24" s="94"/>
      <c r="K24" s="4"/>
      <c r="L24" s="252"/>
      <c r="P24" s="94"/>
    </row>
    <row r="25" spans="1:16" ht="12.75" customHeight="1">
      <c r="A25" s="225"/>
      <c r="B25" s="7"/>
      <c r="C25" s="69" t="s">
        <v>707</v>
      </c>
      <c r="D25" s="33"/>
      <c r="F25" s="33"/>
      <c r="G25" s="33"/>
      <c r="H25" s="33"/>
      <c r="I25" s="94"/>
      <c r="K25" s="4"/>
      <c r="L25" s="252"/>
      <c r="P25" s="94"/>
    </row>
    <row r="26" spans="1:16" ht="12.75" customHeight="1">
      <c r="A26" s="225"/>
      <c r="B26" s="7"/>
      <c r="C26" s="69" t="s">
        <v>393</v>
      </c>
      <c r="D26" s="33"/>
      <c r="F26" s="33"/>
      <c r="G26" s="33"/>
      <c r="H26" s="33"/>
      <c r="I26" s="94"/>
      <c r="K26" s="4"/>
      <c r="L26" s="252"/>
      <c r="P26" s="94"/>
    </row>
    <row r="27" spans="1:16" ht="12.75" customHeight="1">
      <c r="A27" s="225"/>
      <c r="B27" s="7"/>
      <c r="C27" s="69"/>
      <c r="D27" s="33"/>
      <c r="F27" s="33"/>
      <c r="G27" s="33"/>
      <c r="H27" s="33"/>
      <c r="I27" s="94"/>
      <c r="K27" s="4"/>
      <c r="L27" s="252"/>
      <c r="P27" s="94"/>
    </row>
    <row r="28" spans="1:16" ht="12.75" customHeight="1">
      <c r="A28" s="225"/>
      <c r="B28" s="67"/>
      <c r="C28" s="68" t="s">
        <v>738</v>
      </c>
      <c r="D28" s="4" t="str">
        <f>VLOOKUP($C28,ratings,3,FALSE)</f>
        <v>A1</v>
      </c>
      <c r="E28" s="4" t="str">
        <f>VLOOKUP($C28,ratings,5,FALSE)</f>
        <v>P-1</v>
      </c>
      <c r="F28" s="4" t="str">
        <f>VLOOKUP($C28,ratings,6,FALSE)</f>
        <v>STABLE</v>
      </c>
      <c r="G28" s="4" t="str">
        <f>VLOOKUP($C28,ratings,13,FALSE)</f>
        <v>AH</v>
      </c>
      <c r="H28" s="4" t="str">
        <f>VLOOKUP($C28,ratings,15,FALSE)</f>
        <v>R-1M</v>
      </c>
      <c r="I28" s="4" t="str">
        <f>VLOOKUP($C28,ratings,16,FALSE)</f>
        <v>STABLE</v>
      </c>
      <c r="K28" s="4" t="s">
        <v>198</v>
      </c>
      <c r="L28" s="252"/>
      <c r="P28" s="94"/>
    </row>
    <row r="29" spans="1:16" ht="12.75" customHeight="1">
      <c r="A29" s="225"/>
      <c r="B29" s="7"/>
      <c r="C29" s="69" t="s">
        <v>749</v>
      </c>
      <c r="D29" s="33"/>
      <c r="F29" s="33"/>
      <c r="G29" s="33"/>
      <c r="H29" s="33"/>
      <c r="I29" s="94"/>
      <c r="K29" s="4"/>
      <c r="L29" s="252"/>
      <c r="P29" s="94"/>
    </row>
    <row r="30" spans="1:16" ht="12.75" customHeight="1">
      <c r="A30" s="225"/>
      <c r="B30" s="7"/>
      <c r="C30" s="69" t="s">
        <v>750</v>
      </c>
      <c r="D30" s="33"/>
      <c r="F30" s="33"/>
      <c r="G30" s="33"/>
      <c r="H30" s="33"/>
      <c r="I30" s="94"/>
      <c r="K30" s="4"/>
      <c r="L30" s="252"/>
      <c r="P30" s="94"/>
    </row>
    <row r="31" spans="1:16" ht="12.75" customHeight="1">
      <c r="A31" s="225"/>
      <c r="B31" s="7"/>
      <c r="C31" s="69" t="s">
        <v>751</v>
      </c>
      <c r="D31" s="33"/>
      <c r="F31" s="33"/>
      <c r="G31" s="33"/>
      <c r="H31" s="33"/>
      <c r="I31" s="94"/>
      <c r="K31" s="4"/>
      <c r="L31" s="252"/>
      <c r="P31" s="94"/>
    </row>
    <row r="32" spans="1:16" ht="12.75" customHeight="1">
      <c r="A32" s="225"/>
      <c r="B32" s="7"/>
      <c r="C32" s="69"/>
      <c r="D32" s="33"/>
      <c r="F32" s="33"/>
      <c r="G32" s="33"/>
      <c r="H32" s="33"/>
      <c r="I32" s="94"/>
      <c r="K32" s="4"/>
      <c r="L32" s="252"/>
      <c r="P32" s="94"/>
    </row>
    <row r="33" spans="1:16" ht="12.75" customHeight="1">
      <c r="A33" s="225"/>
      <c r="B33" s="67" t="s">
        <v>397</v>
      </c>
      <c r="C33" s="68" t="s">
        <v>252</v>
      </c>
      <c r="D33" s="4" t="str">
        <f>VLOOKUP($C33,ratings,3,FALSE)</f>
        <v>-</v>
      </c>
      <c r="E33" s="4" t="str">
        <f>VLOOKUP($C33,ratings,5,FALSE)</f>
        <v>-</v>
      </c>
      <c r="F33" s="4" t="str">
        <f>VLOOKUP($C33,ratings,6,FALSE)</f>
        <v>-</v>
      </c>
      <c r="G33" s="4" t="str">
        <f>VLOOKUP($C33,ratings,13,FALSE)</f>
        <v>-</v>
      </c>
      <c r="H33" s="4" t="str">
        <f>VLOOKUP($C33,ratings,15,FALSE)</f>
        <v>-</v>
      </c>
      <c r="I33" s="4" t="str">
        <f>VLOOKUP($C33,ratings,16,FALSE)</f>
        <v>-</v>
      </c>
      <c r="K33" s="4" t="s">
        <v>198</v>
      </c>
      <c r="L33" s="252"/>
      <c r="P33" s="94"/>
    </row>
    <row r="34" spans="1:16" ht="12.75" customHeight="1">
      <c r="A34" s="225"/>
      <c r="B34" s="21" t="s">
        <v>396</v>
      </c>
      <c r="C34" s="69" t="s">
        <v>404</v>
      </c>
      <c r="D34" s="33"/>
      <c r="F34" s="33"/>
      <c r="G34" s="33"/>
      <c r="H34" s="33"/>
      <c r="I34" s="94"/>
      <c r="K34" s="4"/>
      <c r="L34" s="252"/>
      <c r="P34" s="94"/>
    </row>
    <row r="35" spans="1:16" ht="12.75" customHeight="1">
      <c r="A35" s="225"/>
      <c r="B35" s="7"/>
      <c r="C35" s="69" t="s">
        <v>398</v>
      </c>
      <c r="D35" s="33"/>
      <c r="F35" s="33"/>
      <c r="G35" s="33"/>
      <c r="H35" s="33"/>
      <c r="I35" s="94"/>
      <c r="K35" s="4"/>
      <c r="L35" s="252"/>
      <c r="P35" s="94"/>
    </row>
    <row r="36" spans="1:16" ht="12.75" customHeight="1">
      <c r="A36" s="225"/>
      <c r="B36" s="7"/>
      <c r="C36" s="69" t="s">
        <v>250</v>
      </c>
      <c r="D36" s="33"/>
      <c r="F36" s="33"/>
      <c r="G36" s="33"/>
      <c r="H36" s="33"/>
      <c r="I36" s="94"/>
      <c r="K36" s="4"/>
      <c r="L36" s="252"/>
      <c r="P36" s="94"/>
    </row>
    <row r="37" spans="1:16" ht="12.75" customHeight="1">
      <c r="A37" s="225"/>
      <c r="B37" s="7"/>
      <c r="C37" s="64"/>
      <c r="D37" s="33"/>
      <c r="F37" s="33"/>
      <c r="G37" s="33"/>
      <c r="H37" s="33"/>
      <c r="I37" s="94"/>
      <c r="K37" s="4"/>
      <c r="L37" s="252"/>
      <c r="P37" s="94"/>
    </row>
    <row r="38" spans="1:16" ht="12.75" customHeight="1">
      <c r="A38" s="225"/>
      <c r="B38" s="31" t="s">
        <v>394</v>
      </c>
      <c r="C38" s="70" t="s">
        <v>752</v>
      </c>
      <c r="D38" s="4" t="str">
        <f>VLOOKUP($C38,ratings,3,FALSE)</f>
        <v>Aa3</v>
      </c>
      <c r="E38" s="4" t="str">
        <f>VLOOKUP($C38,ratings,5,FALSE)</f>
        <v>P-1</v>
      </c>
      <c r="F38" s="4" t="str">
        <f>VLOOKUP($C38,ratings,6,FALSE)</f>
        <v>STABLE</v>
      </c>
      <c r="G38" s="4" t="str">
        <f>VLOOKUP($C38,ratings,13,FALSE)</f>
        <v>-</v>
      </c>
      <c r="H38" s="4" t="str">
        <f>VLOOKUP($C38,ratings,15,FALSE)</f>
        <v>-</v>
      </c>
      <c r="I38" s="4" t="str">
        <f>VLOOKUP($C38,ratings,16,FALSE)</f>
        <v>-</v>
      </c>
      <c r="K38" s="4" t="s">
        <v>198</v>
      </c>
      <c r="L38" s="252"/>
      <c r="P38" s="94"/>
    </row>
    <row r="39" spans="1:16" ht="12.75" customHeight="1">
      <c r="A39" s="225"/>
      <c r="B39" s="66" t="s">
        <v>395</v>
      </c>
      <c r="C39" s="69" t="s">
        <v>783</v>
      </c>
      <c r="D39" s="33"/>
      <c r="F39" s="33"/>
      <c r="G39" s="33"/>
      <c r="H39" s="33"/>
      <c r="I39" s="94"/>
      <c r="K39" s="4"/>
      <c r="L39" s="252"/>
      <c r="P39" s="94"/>
    </row>
    <row r="40" spans="1:16" ht="12.75" customHeight="1">
      <c r="A40" s="225"/>
      <c r="B40" s="21"/>
      <c r="C40" s="69" t="s">
        <v>787</v>
      </c>
      <c r="D40" s="33"/>
      <c r="F40" s="33"/>
      <c r="G40" s="33"/>
      <c r="H40" s="33"/>
      <c r="I40" s="94"/>
      <c r="K40" s="4"/>
      <c r="L40" s="252"/>
      <c r="P40" s="94"/>
    </row>
    <row r="41" spans="1:16" ht="12.75" customHeight="1">
      <c r="A41" s="225"/>
      <c r="C41" s="69" t="s">
        <v>784</v>
      </c>
      <c r="D41" s="33"/>
      <c r="F41" s="33"/>
      <c r="G41" s="33"/>
      <c r="H41" s="33"/>
      <c r="I41" s="94"/>
      <c r="K41" s="4"/>
      <c r="L41" s="252"/>
      <c r="P41" s="94"/>
    </row>
    <row r="42" spans="1:16" ht="12.75" customHeight="1">
      <c r="A42" s="225"/>
      <c r="C42" s="69" t="s">
        <v>785</v>
      </c>
      <c r="D42" s="33"/>
      <c r="F42" s="33"/>
      <c r="G42" s="33"/>
      <c r="H42" s="33"/>
      <c r="I42" s="94"/>
      <c r="K42" s="4"/>
      <c r="L42" s="252"/>
      <c r="P42" s="94"/>
    </row>
    <row r="43" spans="1:16" ht="12.75" customHeight="1">
      <c r="A43" s="225"/>
      <c r="C43" s="69" t="s">
        <v>786</v>
      </c>
      <c r="D43" s="33"/>
      <c r="F43" s="33"/>
      <c r="G43" s="33"/>
      <c r="H43" s="33"/>
      <c r="I43" s="94"/>
      <c r="K43" s="4"/>
      <c r="L43" s="252"/>
      <c r="P43" s="94"/>
    </row>
    <row r="44" spans="1:16" ht="12.75" customHeight="1">
      <c r="A44" s="225"/>
      <c r="C44" s="64"/>
      <c r="D44" s="33"/>
      <c r="F44" s="33"/>
      <c r="G44" s="33"/>
      <c r="H44" s="33"/>
      <c r="I44" s="94"/>
      <c r="K44" s="4"/>
      <c r="L44" s="252"/>
      <c r="P44" s="94"/>
    </row>
    <row r="45" spans="1:16" ht="12.75" customHeight="1">
      <c r="A45" s="225"/>
      <c r="B45" s="20" t="s">
        <v>737</v>
      </c>
      <c r="C45" s="70" t="s">
        <v>753</v>
      </c>
      <c r="D45" s="4" t="str">
        <f>VLOOKUP($C45,ratings,3,FALSE)</f>
        <v>-</v>
      </c>
      <c r="E45" s="4" t="str">
        <f>VLOOKUP($C45,ratings,5,FALSE)</f>
        <v>P-1</v>
      </c>
      <c r="F45" s="4" t="str">
        <f>VLOOKUP($C45,ratings,6,FALSE)</f>
        <v>STABLE</v>
      </c>
      <c r="G45" s="4" t="str">
        <f>VLOOKUP($C45,ratings,13,FALSE)</f>
        <v>AAL</v>
      </c>
      <c r="H45" s="4" t="str">
        <f>VLOOKUP($C45,ratings,15,FALSE)</f>
        <v>R-1M</v>
      </c>
      <c r="I45" s="4" t="str">
        <f>VLOOKUP($C45,ratings,16,FALSE)</f>
        <v>STABLE</v>
      </c>
      <c r="K45" s="4" t="s">
        <v>198</v>
      </c>
      <c r="L45" s="252"/>
      <c r="P45" s="94"/>
    </row>
    <row r="46" spans="1:16" ht="12.75" customHeight="1">
      <c r="A46" s="225"/>
      <c r="C46" s="840" t="s">
        <v>781</v>
      </c>
      <c r="D46" s="4"/>
      <c r="E46" s="4"/>
      <c r="F46" s="4"/>
      <c r="G46" s="4"/>
      <c r="H46" s="4"/>
      <c r="I46" s="4"/>
      <c r="K46" s="4"/>
      <c r="L46" s="252"/>
      <c r="P46" s="94"/>
    </row>
    <row r="47" spans="1:16" ht="12.75" customHeight="1">
      <c r="A47" s="225"/>
      <c r="C47" s="69" t="s">
        <v>782</v>
      </c>
      <c r="D47" s="4"/>
      <c r="E47" s="5"/>
      <c r="F47" s="4"/>
      <c r="G47" s="4"/>
      <c r="H47" s="4"/>
      <c r="I47" s="93"/>
      <c r="K47" s="4"/>
      <c r="L47" s="252"/>
      <c r="P47" s="94"/>
    </row>
    <row r="48" spans="1:16" ht="12.75" customHeight="1">
      <c r="A48" s="225"/>
      <c r="C48" s="69" t="s">
        <v>193</v>
      </c>
      <c r="D48" s="4"/>
      <c r="E48" s="5"/>
      <c r="F48" s="4"/>
      <c r="G48" s="4"/>
      <c r="H48" s="4"/>
      <c r="I48" s="93"/>
      <c r="K48" s="4"/>
      <c r="L48" s="252"/>
      <c r="P48" s="94"/>
    </row>
    <row r="49" spans="1:16" ht="12.75" customHeight="1">
      <c r="A49" s="225"/>
      <c r="C49" s="65"/>
      <c r="D49" s="33"/>
      <c r="F49" s="33"/>
      <c r="G49" s="33"/>
      <c r="H49" s="33"/>
      <c r="I49" s="94"/>
      <c r="K49" s="4"/>
      <c r="L49" s="252"/>
      <c r="P49" s="94"/>
    </row>
    <row r="50" spans="1:16" ht="12.75" customHeight="1">
      <c r="A50" s="225"/>
      <c r="B50" s="20" t="s">
        <v>736</v>
      </c>
      <c r="C50" s="68" t="s">
        <v>804</v>
      </c>
      <c r="D50" s="4" t="str">
        <f>VLOOKUP($C50,ratings,3,FALSE)</f>
        <v>-</v>
      </c>
      <c r="E50" s="5" t="str">
        <f>VLOOKUP($C50,ratings,5,FALSE)</f>
        <v>-</v>
      </c>
      <c r="F50" s="4" t="str">
        <f>VLOOKUP($C50,ratings,6,FALSE)</f>
        <v>-</v>
      </c>
      <c r="G50" s="4" t="str">
        <f>VLOOKUP($C50,ratings,13,FALSE)</f>
        <v>-</v>
      </c>
      <c r="H50" s="4" t="str">
        <f>VLOOKUP($C50,ratings,15,FALSE)</f>
        <v>-</v>
      </c>
      <c r="I50" s="93" t="str">
        <f>VLOOKUP($C50,ratings,16,FALSE)</f>
        <v>-</v>
      </c>
      <c r="K50" s="4" t="s">
        <v>198</v>
      </c>
      <c r="L50" s="252"/>
      <c r="P50" s="94"/>
    </row>
    <row r="51" spans="1:16" ht="12.75" customHeight="1">
      <c r="A51" s="225"/>
      <c r="C51" s="22" t="s">
        <v>404</v>
      </c>
      <c r="D51" s="33"/>
      <c r="F51" s="33"/>
      <c r="G51" s="33"/>
      <c r="H51" s="33"/>
      <c r="I51" s="94"/>
      <c r="K51" s="4"/>
      <c r="L51" s="252"/>
      <c r="P51" s="94"/>
    </row>
    <row r="52" spans="1:16" ht="12.75" customHeight="1">
      <c r="A52" s="225"/>
      <c r="C52" s="22" t="s">
        <v>398</v>
      </c>
      <c r="D52" s="33"/>
      <c r="F52" s="33"/>
      <c r="G52" s="33"/>
      <c r="H52" s="33"/>
      <c r="I52" s="94"/>
      <c r="K52" s="4"/>
      <c r="L52" s="252"/>
      <c r="P52" s="94"/>
    </row>
    <row r="53" spans="1:16" ht="12.75" customHeight="1">
      <c r="A53" s="225"/>
      <c r="C53" s="22" t="s">
        <v>250</v>
      </c>
      <c r="D53" s="33"/>
      <c r="F53" s="33"/>
      <c r="G53" s="33"/>
      <c r="H53" s="33"/>
      <c r="I53" s="94"/>
      <c r="K53" s="4"/>
      <c r="L53" s="252"/>
      <c r="P53" s="94"/>
    </row>
    <row r="54" spans="1:16" ht="12.75" customHeight="1">
      <c r="A54" s="225"/>
      <c r="C54" s="62"/>
      <c r="D54" s="33"/>
      <c r="F54" s="33"/>
      <c r="G54" s="33"/>
      <c r="H54" s="33"/>
      <c r="I54" s="94"/>
      <c r="K54" s="4"/>
      <c r="L54" s="252"/>
      <c r="P54" s="94"/>
    </row>
    <row r="55" spans="1:16" ht="12.75" customHeight="1">
      <c r="A55" s="225"/>
      <c r="B55" s="31" t="s">
        <v>801</v>
      </c>
      <c r="C55" s="70" t="s">
        <v>528</v>
      </c>
      <c r="D55" s="4" t="str">
        <f>VLOOKUP($C55,ratings,3,FALSE)</f>
        <v>Aa2</v>
      </c>
      <c r="E55" s="4" t="str">
        <f>VLOOKUP($C55,ratings,5,FALSE)</f>
        <v>P-1</v>
      </c>
      <c r="F55" s="4" t="str">
        <f>VLOOKUP($C55,ratings,6,FALSE)</f>
        <v>STABLE</v>
      </c>
      <c r="G55" s="4" t="str">
        <f>VLOOKUP($C55,ratings,13,FALSE)</f>
        <v>AAL</v>
      </c>
      <c r="H55" s="4" t="str">
        <f>VLOOKUP($C55,ratings,15,FALSE)</f>
        <v>R-1M</v>
      </c>
      <c r="I55" s="4" t="str">
        <f>VLOOKUP($C55,ratings,16,FALSE)</f>
        <v>STABLE</v>
      </c>
      <c r="K55" s="4" t="s">
        <v>198</v>
      </c>
      <c r="L55" s="252"/>
      <c r="P55" s="94"/>
    </row>
    <row r="56" spans="1:16" ht="12.75" customHeight="1">
      <c r="A56" s="225"/>
      <c r="C56" s="69" t="s">
        <v>698</v>
      </c>
      <c r="D56" s="33"/>
      <c r="E56" s="33"/>
      <c r="F56" s="33"/>
      <c r="G56" s="33"/>
      <c r="H56" s="33"/>
      <c r="I56" s="94"/>
      <c r="K56" s="4"/>
      <c r="P56" s="94"/>
    </row>
    <row r="57" spans="1:16" ht="12.75" customHeight="1">
      <c r="A57" s="225"/>
      <c r="C57" s="69" t="s">
        <v>705</v>
      </c>
      <c r="D57" s="33"/>
      <c r="F57" s="33"/>
      <c r="G57" s="33"/>
      <c r="H57" s="33"/>
      <c r="I57" s="94"/>
      <c r="K57" s="4"/>
      <c r="P57" s="94"/>
    </row>
    <row r="58" spans="1:16" ht="12.75" customHeight="1">
      <c r="A58" s="225"/>
      <c r="C58" s="69" t="s">
        <v>193</v>
      </c>
      <c r="D58" s="33"/>
      <c r="F58" s="33"/>
      <c r="G58" s="33"/>
      <c r="H58" s="33"/>
      <c r="I58" s="94"/>
      <c r="K58" s="4"/>
      <c r="P58" s="94"/>
    </row>
    <row r="59" spans="1:16" ht="12.75" customHeight="1">
      <c r="A59" s="225"/>
      <c r="C59" s="69"/>
      <c r="D59" s="33"/>
      <c r="F59" s="33"/>
      <c r="G59" s="33"/>
      <c r="H59" s="33"/>
      <c r="I59" s="94"/>
      <c r="K59" s="4"/>
      <c r="P59" s="94"/>
    </row>
    <row r="60" spans="1:16" ht="12.75" customHeight="1">
      <c r="A60" s="225"/>
      <c r="B60" s="21" t="s">
        <v>802</v>
      </c>
      <c r="C60" s="68" t="s">
        <v>392</v>
      </c>
      <c r="D60" s="4" t="str">
        <f>VLOOKUP($C60,ratings,3,FALSE)</f>
        <v>-</v>
      </c>
      <c r="E60" s="4" t="str">
        <f>VLOOKUP($C60,ratings,5,FALSE)</f>
        <v>-</v>
      </c>
      <c r="F60" s="4" t="str">
        <f>VLOOKUP($C60,ratings,6,FALSE)</f>
        <v>-</v>
      </c>
      <c r="G60" s="4" t="str">
        <f>VLOOKUP($C60,ratings,13,FALSE)</f>
        <v>-</v>
      </c>
      <c r="H60" s="4" t="str">
        <f>VLOOKUP($C60,ratings,15,FALSE)</f>
        <v>-</v>
      </c>
      <c r="I60" s="4" t="str">
        <f>VLOOKUP($C60,ratings,16,FALSE)</f>
        <v>-</v>
      </c>
      <c r="K60" s="4" t="s">
        <v>198</v>
      </c>
      <c r="P60" s="94"/>
    </row>
    <row r="61" spans="1:16" ht="12.75" customHeight="1">
      <c r="A61" s="225"/>
      <c r="C61" s="69" t="s">
        <v>511</v>
      </c>
      <c r="D61" s="33"/>
      <c r="F61" s="33"/>
      <c r="G61" s="33"/>
      <c r="H61" s="33"/>
      <c r="I61" s="94"/>
      <c r="K61" s="4"/>
      <c r="P61" s="94"/>
    </row>
    <row r="62" spans="1:16" ht="12.75" customHeight="1">
      <c r="A62" s="225"/>
      <c r="C62" s="69" t="s">
        <v>512</v>
      </c>
      <c r="D62" s="33"/>
      <c r="F62" s="33"/>
      <c r="G62" s="33"/>
      <c r="H62" s="33"/>
      <c r="I62" s="94"/>
      <c r="K62" s="4"/>
      <c r="P62" s="94"/>
    </row>
    <row r="63" spans="1:16" ht="12.75" customHeight="1">
      <c r="A63" s="225"/>
      <c r="C63" s="69" t="s">
        <v>393</v>
      </c>
      <c r="D63" s="33"/>
      <c r="F63" s="33"/>
      <c r="G63" s="33"/>
      <c r="H63" s="33"/>
      <c r="I63" s="94"/>
      <c r="K63" s="4"/>
      <c r="P63" s="94"/>
    </row>
    <row r="64" spans="1:16" ht="12.75" customHeight="1">
      <c r="A64" s="225"/>
      <c r="C64" s="69"/>
      <c r="D64" s="33"/>
      <c r="F64" s="33"/>
      <c r="G64" s="33"/>
      <c r="H64" s="33"/>
      <c r="I64" s="94"/>
      <c r="K64" s="4"/>
      <c r="P64" s="94"/>
    </row>
    <row r="65" spans="1:16" ht="12.75" customHeight="1">
      <c r="A65" s="225"/>
      <c r="D65" s="34"/>
      <c r="E65" s="35"/>
      <c r="F65" s="34"/>
      <c r="G65" s="34"/>
      <c r="H65" s="34"/>
      <c r="I65" s="95"/>
      <c r="J65" s="94"/>
      <c r="K65" s="36"/>
      <c r="P65" s="94"/>
    </row>
    <row r="66" spans="1:16" ht="12.75" customHeight="1">
      <c r="A66" s="225"/>
      <c r="P66" s="94"/>
    </row>
    <row r="67" spans="1:16" ht="12.75" customHeight="1">
      <c r="A67" s="225"/>
      <c r="P67" s="94"/>
    </row>
    <row r="68" spans="1:16" ht="12.75" customHeight="1">
      <c r="A68" s="225"/>
      <c r="B68" s="31" t="s">
        <v>803</v>
      </c>
      <c r="C68" s="66" t="s">
        <v>389</v>
      </c>
      <c r="D68" s="65"/>
      <c r="E68" s="838" t="s">
        <v>529</v>
      </c>
      <c r="K68" s="21"/>
      <c r="L68" s="21"/>
      <c r="P68" s="94"/>
    </row>
    <row r="69" spans="1:16" ht="12.75" customHeight="1">
      <c r="A69" s="225"/>
      <c r="C69" s="65" t="s">
        <v>400</v>
      </c>
      <c r="D69" s="65"/>
      <c r="E69" s="319" t="s">
        <v>530</v>
      </c>
      <c r="F69" s="65"/>
      <c r="K69" s="65"/>
      <c r="L69" s="65"/>
      <c r="P69" s="94"/>
    </row>
    <row r="70" spans="1:16" ht="12.75" customHeight="1">
      <c r="A70" s="225"/>
      <c r="C70" s="65" t="s">
        <v>401</v>
      </c>
      <c r="D70" s="65"/>
      <c r="E70" s="319" t="s">
        <v>531</v>
      </c>
      <c r="F70" s="65"/>
      <c r="K70" s="65"/>
      <c r="L70" s="65"/>
      <c r="P70" s="94"/>
    </row>
    <row r="71" spans="1:16" ht="12.75" customHeight="1">
      <c r="A71" s="225"/>
      <c r="C71" s="65" t="s">
        <v>253</v>
      </c>
      <c r="D71" s="65"/>
      <c r="E71" s="319" t="s">
        <v>532</v>
      </c>
      <c r="F71" s="65"/>
      <c r="K71" s="65"/>
      <c r="L71" s="65"/>
      <c r="P71" s="94"/>
    </row>
    <row r="72" spans="1:16" ht="12.75" customHeight="1">
      <c r="A72" s="225"/>
      <c r="C72" s="65"/>
      <c r="D72" s="65"/>
      <c r="E72" s="319" t="s">
        <v>533</v>
      </c>
      <c r="F72" s="65"/>
      <c r="K72" s="65"/>
      <c r="L72" s="65"/>
      <c r="P72" s="94"/>
    </row>
    <row r="73" spans="1:16" ht="12.75" customHeight="1">
      <c r="A73" s="225"/>
      <c r="P73" s="94"/>
    </row>
    <row r="74" spans="1:16" ht="12.75" customHeight="1">
      <c r="A74" s="289"/>
      <c r="B74" s="51" t="str">
        <f>VLOOKUP("RatingDate",ratings,17,0)</f>
        <v>Ratings as of 31.08.2025, data source: Bloomberg</v>
      </c>
      <c r="C74" s="97"/>
      <c r="D74" s="37"/>
      <c r="E74" s="37"/>
      <c r="F74" s="37"/>
      <c r="G74" s="37"/>
      <c r="H74" s="37"/>
      <c r="I74" s="37"/>
      <c r="J74" s="37"/>
      <c r="K74" s="37"/>
      <c r="L74" s="37"/>
      <c r="M74" s="37"/>
      <c r="N74" s="37"/>
      <c r="O74" s="37"/>
      <c r="P74" s="95"/>
    </row>
    <row r="75" spans="1:16" ht="15.5">
      <c r="C75" s="12"/>
      <c r="D75" s="25"/>
      <c r="E75" s="25"/>
      <c r="F75" s="25"/>
      <c r="G75" s="25"/>
      <c r="H75" s="25"/>
      <c r="I75" s="25"/>
      <c r="J75" s="25"/>
      <c r="K75" s="25"/>
      <c r="L75" s="25"/>
      <c r="M75" s="25"/>
      <c r="N75" s="25"/>
      <c r="O75" s="25"/>
    </row>
    <row r="76" spans="1:16" ht="15.5">
      <c r="C76" s="12"/>
      <c r="D76" s="25"/>
      <c r="E76" s="25"/>
      <c r="F76" s="25"/>
      <c r="G76" s="25"/>
      <c r="H76" s="25"/>
      <c r="I76" s="25"/>
      <c r="J76" s="25"/>
      <c r="K76" s="25"/>
      <c r="L76" s="25"/>
      <c r="M76" s="25"/>
      <c r="N76" s="25"/>
      <c r="O76" s="25"/>
    </row>
    <row r="77" spans="1:16" ht="15.5">
      <c r="C77" s="12"/>
      <c r="D77" s="25"/>
      <c r="E77" s="25"/>
      <c r="F77" s="25"/>
      <c r="G77" s="25"/>
      <c r="H77" s="25"/>
      <c r="I77" s="25"/>
      <c r="J77" s="25"/>
      <c r="K77" s="25"/>
      <c r="L77" s="25"/>
      <c r="M77" s="25"/>
      <c r="N77" s="25"/>
      <c r="O77" s="25"/>
    </row>
    <row r="78" spans="1:16" ht="15.5">
      <c r="C78" s="320"/>
      <c r="D78" s="38"/>
      <c r="E78" s="38"/>
      <c r="F78" s="38"/>
      <c r="G78" s="8"/>
      <c r="H78" s="8"/>
      <c r="I78" s="8"/>
      <c r="J78" s="8"/>
      <c r="K78" s="8"/>
      <c r="L78" s="8"/>
      <c r="M78" s="8"/>
      <c r="N78" s="252"/>
    </row>
    <row r="79" spans="1:16" ht="15.5">
      <c r="C79" s="320"/>
      <c r="D79" s="38"/>
      <c r="E79" s="38"/>
      <c r="F79" s="38"/>
      <c r="G79" s="8"/>
      <c r="H79" s="8"/>
      <c r="I79" s="8"/>
      <c r="J79" s="8"/>
      <c r="K79" s="8"/>
      <c r="L79" s="8"/>
      <c r="M79" s="8"/>
    </row>
    <row r="80" spans="1:16" ht="15.5">
      <c r="D80" s="39"/>
      <c r="H80" s="21"/>
      <c r="M80" s="8"/>
    </row>
    <row r="81" spans="2:13" ht="15.5">
      <c r="M81" s="8"/>
    </row>
    <row r="82" spans="2:13" ht="15.5">
      <c r="M82" s="8"/>
    </row>
    <row r="83" spans="2:13" ht="15.5">
      <c r="M83" s="8"/>
    </row>
    <row r="84" spans="2:13" ht="15.5">
      <c r="M84" s="8"/>
    </row>
    <row r="85" spans="2:13" ht="15.5">
      <c r="C85" s="38"/>
      <c r="D85" s="38"/>
      <c r="E85" s="38"/>
      <c r="F85" s="38"/>
      <c r="G85" s="8"/>
      <c r="H85" s="8"/>
      <c r="I85" s="8"/>
      <c r="J85" s="8"/>
      <c r="K85" s="8"/>
      <c r="L85" s="8"/>
      <c r="M85" s="8"/>
    </row>
    <row r="86" spans="2:13" ht="14">
      <c r="D86" s="194"/>
      <c r="E86" s="221"/>
      <c r="F86" s="295"/>
      <c r="G86" s="295"/>
      <c r="H86" s="295"/>
      <c r="I86" s="252"/>
      <c r="J86" s="252"/>
      <c r="K86" s="252"/>
      <c r="L86" s="252"/>
    </row>
    <row r="87" spans="2:13" ht="14">
      <c r="B87" s="191"/>
      <c r="C87" s="220"/>
      <c r="D87" s="296"/>
      <c r="E87" s="221"/>
      <c r="F87" s="295"/>
      <c r="G87" s="295"/>
      <c r="H87" s="295"/>
      <c r="I87" s="252"/>
      <c r="J87" s="252"/>
      <c r="K87" s="252"/>
      <c r="L87" s="252"/>
    </row>
    <row r="88" spans="2:13" ht="14">
      <c r="B88" s="297"/>
      <c r="C88" s="220"/>
      <c r="D88" s="295"/>
      <c r="E88" s="221"/>
      <c r="F88" s="295"/>
      <c r="G88" s="295"/>
      <c r="H88" s="295"/>
      <c r="I88" s="252"/>
      <c r="J88" s="252"/>
      <c r="K88" s="252"/>
      <c r="L88" s="252"/>
    </row>
    <row r="89" spans="2:13">
      <c r="C89" s="220"/>
      <c r="I89" s="252"/>
      <c r="J89" s="252"/>
      <c r="K89" s="252"/>
      <c r="L89" s="252"/>
    </row>
    <row r="90" spans="2:13">
      <c r="I90" s="252"/>
      <c r="J90" s="252"/>
      <c r="K90" s="252"/>
      <c r="L90" s="252"/>
    </row>
    <row r="91" spans="2:13">
      <c r="I91" s="252"/>
      <c r="J91" s="252"/>
      <c r="K91" s="252"/>
      <c r="L91" s="252"/>
    </row>
    <row r="92" spans="2:13">
      <c r="I92" s="252"/>
      <c r="J92" s="252"/>
      <c r="K92" s="252"/>
      <c r="L92" s="252"/>
    </row>
    <row r="93" spans="2:13">
      <c r="I93" s="252"/>
      <c r="J93" s="252"/>
      <c r="K93" s="252"/>
      <c r="L93" s="252"/>
    </row>
    <row r="94" spans="2:13">
      <c r="I94" s="252"/>
      <c r="J94" s="252"/>
      <c r="K94" s="252"/>
      <c r="L94" s="252"/>
    </row>
    <row r="95" spans="2:13">
      <c r="I95" s="252"/>
      <c r="J95" s="252"/>
      <c r="K95" s="252"/>
      <c r="L95" s="252"/>
    </row>
    <row r="96" spans="2:13">
      <c r="I96" s="252"/>
      <c r="J96" s="252"/>
      <c r="K96" s="252"/>
      <c r="L96" s="252"/>
    </row>
    <row r="97" spans="9:12">
      <c r="I97" s="252"/>
      <c r="J97" s="252"/>
      <c r="K97" s="252"/>
      <c r="L97" s="252"/>
    </row>
    <row r="98" spans="9:12">
      <c r="I98" s="252"/>
      <c r="J98" s="252"/>
      <c r="K98" s="252"/>
      <c r="L98" s="252"/>
    </row>
    <row r="99" spans="9:12">
      <c r="I99" s="252"/>
      <c r="J99" s="252"/>
      <c r="K99" s="252"/>
      <c r="L99" s="252"/>
    </row>
    <row r="100" spans="9:12">
      <c r="I100" s="252"/>
      <c r="J100" s="252"/>
      <c r="K100" s="252"/>
      <c r="L100" s="252"/>
    </row>
    <row r="101" spans="9:12">
      <c r="I101" s="252"/>
      <c r="J101" s="252"/>
      <c r="K101" s="252"/>
      <c r="L101" s="252"/>
    </row>
    <row r="102" spans="9:12">
      <c r="I102" s="252"/>
      <c r="J102" s="252"/>
      <c r="K102" s="252"/>
      <c r="L102" s="252"/>
    </row>
    <row r="103" spans="9:12">
      <c r="I103" s="252"/>
      <c r="J103" s="252"/>
      <c r="K103" s="252"/>
      <c r="L103" s="252"/>
    </row>
    <row r="104" spans="9:12">
      <c r="I104" s="252"/>
      <c r="J104" s="252"/>
      <c r="K104" s="252"/>
      <c r="L104" s="252"/>
    </row>
    <row r="105" spans="9:12">
      <c r="I105" s="252"/>
      <c r="J105" s="252"/>
      <c r="K105" s="252"/>
      <c r="L105" s="252"/>
    </row>
    <row r="106" spans="9:12">
      <c r="I106" s="252"/>
      <c r="J106" s="252"/>
      <c r="K106" s="252"/>
      <c r="L106" s="252"/>
    </row>
    <row r="107" spans="9:12">
      <c r="I107" s="252"/>
      <c r="J107" s="252"/>
      <c r="K107" s="252"/>
      <c r="L107" s="252"/>
    </row>
    <row r="108" spans="9:12">
      <c r="I108" s="252"/>
      <c r="J108" s="252"/>
      <c r="K108" s="252"/>
      <c r="L108" s="252"/>
    </row>
    <row r="109" spans="9:12">
      <c r="I109" s="252"/>
      <c r="J109" s="252"/>
      <c r="K109" s="252"/>
      <c r="L109" s="252"/>
    </row>
    <row r="110" spans="9:12">
      <c r="I110" s="252"/>
      <c r="J110" s="252"/>
      <c r="K110" s="252"/>
      <c r="L110" s="252"/>
    </row>
    <row r="111" spans="9:12">
      <c r="I111" s="252"/>
      <c r="J111" s="252"/>
      <c r="K111" s="252"/>
      <c r="L111" s="252"/>
    </row>
    <row r="112" spans="9:12">
      <c r="I112" s="252"/>
      <c r="J112" s="252"/>
      <c r="K112" s="252"/>
      <c r="L112" s="252"/>
    </row>
    <row r="113" spans="9:12">
      <c r="I113" s="252"/>
      <c r="J113" s="252"/>
      <c r="K113" s="252"/>
      <c r="L113" s="252"/>
    </row>
    <row r="114" spans="9:12">
      <c r="I114" s="252"/>
      <c r="J114" s="252"/>
      <c r="K114" s="252"/>
      <c r="L114" s="252"/>
    </row>
    <row r="115" spans="9:12">
      <c r="I115" s="252"/>
      <c r="J115" s="252"/>
      <c r="K115" s="252"/>
      <c r="L115" s="252"/>
    </row>
    <row r="116" spans="9:12">
      <c r="I116" s="252"/>
      <c r="J116" s="252"/>
      <c r="K116" s="252"/>
      <c r="L116" s="252"/>
    </row>
    <row r="117" spans="9:12">
      <c r="I117" s="252"/>
      <c r="J117" s="252"/>
      <c r="K117" s="252"/>
      <c r="L117" s="252"/>
    </row>
    <row r="118" spans="9:12">
      <c r="I118" s="252"/>
      <c r="J118" s="252"/>
      <c r="K118" s="252"/>
      <c r="L118" s="252"/>
    </row>
    <row r="119" spans="9:12">
      <c r="I119" s="252"/>
      <c r="J119" s="252"/>
      <c r="K119" s="252"/>
      <c r="L119" s="252"/>
    </row>
    <row r="120" spans="9:12">
      <c r="I120" s="252"/>
      <c r="J120" s="252"/>
      <c r="K120" s="252"/>
      <c r="L120" s="252"/>
    </row>
    <row r="121" spans="9:12">
      <c r="I121" s="252"/>
      <c r="J121" s="252"/>
      <c r="K121" s="252"/>
      <c r="L121" s="252"/>
    </row>
    <row r="122" spans="9:12">
      <c r="I122" s="252"/>
      <c r="J122" s="252"/>
      <c r="K122" s="252"/>
      <c r="L122" s="252"/>
    </row>
    <row r="123" spans="9:12">
      <c r="I123" s="252"/>
      <c r="J123" s="252"/>
      <c r="K123" s="252"/>
      <c r="L123" s="252"/>
    </row>
    <row r="124" spans="9:12">
      <c r="I124" s="252"/>
      <c r="J124" s="252"/>
      <c r="K124" s="252"/>
      <c r="L124" s="252"/>
    </row>
    <row r="125" spans="9:12">
      <c r="I125" s="252"/>
      <c r="J125" s="252"/>
      <c r="K125" s="252"/>
      <c r="L125" s="252"/>
    </row>
    <row r="126" spans="9:12">
      <c r="I126" s="252"/>
      <c r="J126" s="252"/>
      <c r="K126" s="252"/>
      <c r="L126" s="252"/>
    </row>
    <row r="127" spans="9:12">
      <c r="I127" s="252"/>
      <c r="J127" s="252"/>
      <c r="K127" s="252"/>
      <c r="L127" s="252"/>
    </row>
    <row r="128" spans="9:12">
      <c r="I128" s="252"/>
      <c r="J128" s="252"/>
      <c r="K128" s="252"/>
      <c r="L128" s="252"/>
    </row>
    <row r="129" spans="9:12">
      <c r="I129" s="252"/>
      <c r="J129" s="252"/>
      <c r="K129" s="252"/>
      <c r="L129" s="252"/>
    </row>
    <row r="130" spans="9:12">
      <c r="I130" s="252"/>
      <c r="J130" s="252"/>
      <c r="K130" s="252"/>
      <c r="L130" s="252"/>
    </row>
    <row r="131" spans="9:12">
      <c r="I131" s="252"/>
      <c r="J131" s="252"/>
      <c r="K131" s="252"/>
      <c r="L131" s="252"/>
    </row>
    <row r="132" spans="9:12">
      <c r="I132" s="252"/>
      <c r="J132" s="252"/>
      <c r="K132" s="252"/>
      <c r="L132" s="252"/>
    </row>
    <row r="133" spans="9:12">
      <c r="I133" s="252"/>
      <c r="J133" s="252"/>
      <c r="K133" s="252"/>
      <c r="L133" s="252"/>
    </row>
    <row r="134" spans="9:12">
      <c r="I134" s="252"/>
      <c r="J134" s="252"/>
      <c r="K134" s="252"/>
      <c r="L134" s="252"/>
    </row>
    <row r="135" spans="9:12">
      <c r="I135" s="252"/>
      <c r="J135" s="252"/>
      <c r="K135" s="252"/>
      <c r="L135" s="252"/>
    </row>
    <row r="136" spans="9:12">
      <c r="I136" s="252"/>
      <c r="J136" s="252"/>
      <c r="K136" s="252"/>
      <c r="L136" s="252"/>
    </row>
    <row r="137" spans="9:12">
      <c r="I137" s="252"/>
      <c r="J137" s="252"/>
      <c r="K137" s="252"/>
      <c r="L137" s="252"/>
    </row>
    <row r="138" spans="9:12">
      <c r="I138" s="252"/>
      <c r="J138" s="252"/>
      <c r="K138" s="252"/>
      <c r="L138" s="252"/>
    </row>
    <row r="139" spans="9:12">
      <c r="I139" s="252"/>
      <c r="J139" s="252"/>
      <c r="K139" s="252"/>
      <c r="L139" s="252"/>
    </row>
    <row r="140" spans="9:12">
      <c r="I140" s="252"/>
      <c r="J140" s="252"/>
      <c r="K140" s="252"/>
      <c r="L140" s="252"/>
    </row>
    <row r="141" spans="9:12">
      <c r="I141" s="252"/>
      <c r="J141" s="252"/>
      <c r="K141" s="252"/>
      <c r="L141" s="252"/>
    </row>
    <row r="142" spans="9:12">
      <c r="I142" s="252"/>
      <c r="J142" s="252"/>
      <c r="K142" s="252"/>
      <c r="L142" s="252"/>
    </row>
    <row r="143" spans="9:12">
      <c r="I143" s="252"/>
      <c r="J143" s="252"/>
      <c r="K143" s="252"/>
      <c r="L143" s="252"/>
    </row>
    <row r="144" spans="9:12">
      <c r="I144" s="252"/>
      <c r="J144" s="252"/>
      <c r="K144" s="252"/>
      <c r="L144" s="252"/>
    </row>
    <row r="145" spans="9:12">
      <c r="I145" s="252"/>
      <c r="J145" s="252"/>
      <c r="K145" s="252"/>
      <c r="L145" s="252"/>
    </row>
    <row r="146" spans="9:12">
      <c r="I146" s="252"/>
      <c r="J146" s="252"/>
      <c r="K146" s="252"/>
      <c r="L146" s="252"/>
    </row>
    <row r="147" spans="9:12">
      <c r="I147" s="252"/>
      <c r="J147" s="252"/>
      <c r="K147" s="252"/>
      <c r="L147" s="252"/>
    </row>
    <row r="148" spans="9:12">
      <c r="I148" s="252"/>
      <c r="J148" s="252"/>
      <c r="K148" s="252"/>
      <c r="L148" s="252"/>
    </row>
    <row r="149" spans="9:12">
      <c r="I149" s="252"/>
      <c r="J149" s="252"/>
      <c r="K149" s="252"/>
      <c r="L149" s="252"/>
    </row>
    <row r="150" spans="9:12">
      <c r="I150" s="252"/>
      <c r="J150" s="252"/>
      <c r="K150" s="252"/>
      <c r="L150" s="252"/>
    </row>
    <row r="151" spans="9:12">
      <c r="I151" s="252"/>
      <c r="J151" s="252"/>
      <c r="K151" s="252"/>
      <c r="L151" s="252"/>
    </row>
    <row r="152" spans="9:12">
      <c r="I152" s="252"/>
      <c r="J152" s="252"/>
      <c r="K152" s="252"/>
      <c r="L152" s="252"/>
    </row>
    <row r="153" spans="9:12">
      <c r="I153" s="252"/>
      <c r="J153" s="252"/>
      <c r="K153" s="252"/>
      <c r="L153" s="252"/>
    </row>
    <row r="154" spans="9:12">
      <c r="I154" s="252"/>
      <c r="J154" s="252"/>
      <c r="K154" s="252"/>
      <c r="L154" s="252"/>
    </row>
    <row r="155" spans="9:12">
      <c r="I155" s="252"/>
      <c r="J155" s="252"/>
      <c r="K155" s="252"/>
      <c r="L155" s="252"/>
    </row>
    <row r="156" spans="9:12">
      <c r="I156" s="252"/>
      <c r="J156" s="252"/>
      <c r="K156" s="252"/>
      <c r="L156" s="252"/>
    </row>
    <row r="157" spans="9:12">
      <c r="I157" s="252"/>
      <c r="J157" s="252"/>
      <c r="K157" s="252"/>
      <c r="L157" s="252"/>
    </row>
    <row r="158" spans="9:12">
      <c r="I158" s="252"/>
      <c r="J158" s="252"/>
      <c r="K158" s="252"/>
      <c r="L158" s="252"/>
    </row>
    <row r="159" spans="9:12">
      <c r="I159" s="252"/>
      <c r="J159" s="252"/>
      <c r="K159" s="252"/>
      <c r="L159" s="252"/>
    </row>
    <row r="160" spans="9:12">
      <c r="I160" s="252"/>
      <c r="J160" s="252"/>
      <c r="K160" s="252"/>
      <c r="L160" s="252"/>
    </row>
    <row r="161" spans="9:12">
      <c r="I161" s="252"/>
      <c r="J161" s="252"/>
      <c r="K161" s="252"/>
      <c r="L161" s="252"/>
    </row>
    <row r="162" spans="9:12">
      <c r="I162" s="252"/>
      <c r="J162" s="252"/>
      <c r="K162" s="252"/>
      <c r="L162" s="252"/>
    </row>
    <row r="163" spans="9:12">
      <c r="I163" s="252"/>
      <c r="J163" s="252"/>
      <c r="K163" s="252"/>
      <c r="L163" s="252"/>
    </row>
    <row r="164" spans="9:12">
      <c r="I164" s="252"/>
      <c r="J164" s="252"/>
      <c r="K164" s="252"/>
      <c r="L164" s="252"/>
    </row>
    <row r="165" spans="9:12">
      <c r="I165" s="252"/>
      <c r="J165" s="252"/>
      <c r="K165" s="252"/>
      <c r="L165" s="252"/>
    </row>
    <row r="166" spans="9:12">
      <c r="I166" s="252"/>
      <c r="J166" s="252"/>
      <c r="K166" s="252"/>
      <c r="L166" s="252"/>
    </row>
    <row r="167" spans="9:12">
      <c r="I167" s="252"/>
      <c r="J167" s="252"/>
      <c r="K167" s="252"/>
      <c r="L167" s="252"/>
    </row>
    <row r="168" spans="9:12">
      <c r="I168" s="252"/>
      <c r="J168" s="252"/>
      <c r="K168" s="252"/>
      <c r="L168" s="252"/>
    </row>
    <row r="169" spans="9:12">
      <c r="I169" s="252"/>
      <c r="J169" s="252"/>
      <c r="K169" s="252"/>
      <c r="L169" s="252"/>
    </row>
    <row r="170" spans="9:12">
      <c r="I170" s="252"/>
      <c r="J170" s="252"/>
      <c r="K170" s="252"/>
      <c r="L170" s="252"/>
    </row>
    <row r="171" spans="9:12">
      <c r="I171" s="252"/>
      <c r="J171" s="252"/>
      <c r="K171" s="252"/>
      <c r="L171" s="252"/>
    </row>
    <row r="172" spans="9:12">
      <c r="I172" s="252"/>
      <c r="J172" s="252"/>
      <c r="K172" s="252"/>
      <c r="L172" s="252"/>
    </row>
    <row r="173" spans="9:12">
      <c r="I173" s="252"/>
      <c r="J173" s="252"/>
      <c r="K173" s="252"/>
      <c r="L173" s="252"/>
    </row>
    <row r="174" spans="9:12">
      <c r="I174" s="252"/>
      <c r="J174" s="252"/>
      <c r="K174" s="252"/>
      <c r="L174" s="252"/>
    </row>
    <row r="175" spans="9:12">
      <c r="I175" s="252"/>
      <c r="J175" s="252"/>
      <c r="K175" s="252"/>
      <c r="L175" s="252"/>
    </row>
    <row r="176" spans="9:12">
      <c r="I176" s="252"/>
      <c r="J176" s="252"/>
      <c r="K176" s="252"/>
      <c r="L176" s="252"/>
    </row>
    <row r="177" spans="9:12">
      <c r="I177" s="252"/>
      <c r="J177" s="252"/>
      <c r="K177" s="252"/>
      <c r="L177" s="252"/>
    </row>
    <row r="178" spans="9:12">
      <c r="I178" s="252"/>
      <c r="J178" s="252"/>
      <c r="K178" s="252"/>
      <c r="L178" s="252"/>
    </row>
    <row r="179" spans="9:12">
      <c r="I179" s="252"/>
      <c r="J179" s="252"/>
      <c r="K179" s="252"/>
      <c r="L179" s="252"/>
    </row>
    <row r="180" spans="9:12">
      <c r="I180" s="252"/>
      <c r="J180" s="252"/>
      <c r="K180" s="252"/>
      <c r="L180" s="252"/>
    </row>
    <row r="181" spans="9:12">
      <c r="I181" s="252"/>
      <c r="J181" s="252"/>
      <c r="K181" s="252"/>
      <c r="L181" s="252"/>
    </row>
    <row r="182" spans="9:12">
      <c r="I182" s="252"/>
      <c r="J182" s="252"/>
      <c r="K182" s="252"/>
      <c r="L182" s="252"/>
    </row>
    <row r="183" spans="9:12">
      <c r="I183" s="252"/>
      <c r="J183" s="252"/>
      <c r="K183" s="252"/>
      <c r="L183" s="252"/>
    </row>
    <row r="184" spans="9:12">
      <c r="I184" s="252"/>
      <c r="J184" s="252"/>
      <c r="K184" s="252"/>
      <c r="L184" s="252"/>
    </row>
    <row r="185" spans="9:12">
      <c r="I185" s="252"/>
      <c r="J185" s="252"/>
      <c r="K185" s="252"/>
      <c r="L185" s="252"/>
    </row>
    <row r="186" spans="9:12">
      <c r="I186" s="252"/>
      <c r="J186" s="252"/>
      <c r="K186" s="252"/>
      <c r="L186" s="252"/>
    </row>
    <row r="187" spans="9:12">
      <c r="I187" s="252"/>
      <c r="J187" s="252"/>
      <c r="K187" s="252"/>
      <c r="L187" s="252"/>
    </row>
    <row r="188" spans="9:12">
      <c r="I188" s="252"/>
      <c r="J188" s="252"/>
      <c r="K188" s="252"/>
      <c r="L188" s="252"/>
    </row>
    <row r="189" spans="9:12">
      <c r="I189" s="252"/>
      <c r="J189" s="252"/>
      <c r="K189" s="252"/>
      <c r="L189" s="252"/>
    </row>
    <row r="190" spans="9:12">
      <c r="I190" s="252"/>
      <c r="J190" s="252"/>
      <c r="K190" s="252"/>
      <c r="L190" s="252"/>
    </row>
    <row r="191" spans="9:12">
      <c r="I191" s="252"/>
      <c r="J191" s="252"/>
      <c r="K191" s="252"/>
      <c r="L191" s="252"/>
    </row>
    <row r="192" spans="9:12">
      <c r="I192" s="252"/>
      <c r="J192" s="252"/>
      <c r="K192" s="252"/>
      <c r="L192" s="252"/>
    </row>
    <row r="193" spans="9:12">
      <c r="I193" s="252"/>
      <c r="J193" s="252"/>
      <c r="K193" s="252"/>
      <c r="L193" s="252"/>
    </row>
    <row r="194" spans="9:12">
      <c r="I194" s="252"/>
      <c r="J194" s="252"/>
      <c r="K194" s="252"/>
      <c r="L194" s="252"/>
    </row>
    <row r="195" spans="9:12">
      <c r="I195" s="252"/>
      <c r="J195" s="252"/>
      <c r="K195" s="252"/>
      <c r="L195" s="252"/>
    </row>
    <row r="196" spans="9:12">
      <c r="I196" s="252"/>
      <c r="J196" s="252"/>
      <c r="K196" s="252"/>
      <c r="L196" s="252"/>
    </row>
    <row r="197" spans="9:12">
      <c r="I197" s="252"/>
      <c r="J197" s="252"/>
      <c r="K197" s="252"/>
      <c r="L197" s="252"/>
    </row>
    <row r="198" spans="9:12">
      <c r="I198" s="252"/>
      <c r="J198" s="252"/>
      <c r="K198" s="252"/>
      <c r="L198" s="252"/>
    </row>
    <row r="199" spans="9:12">
      <c r="I199" s="252"/>
      <c r="J199" s="252"/>
      <c r="K199" s="252"/>
      <c r="L199" s="252"/>
    </row>
    <row r="200" spans="9:12">
      <c r="I200" s="252"/>
      <c r="J200" s="252"/>
      <c r="K200" s="252"/>
      <c r="L200" s="252"/>
    </row>
    <row r="201" spans="9:12">
      <c r="I201" s="252"/>
      <c r="J201" s="252"/>
      <c r="K201" s="252"/>
      <c r="L201" s="252"/>
    </row>
    <row r="202" spans="9:12">
      <c r="I202" s="252"/>
      <c r="J202" s="252"/>
      <c r="K202" s="252"/>
      <c r="L202" s="252"/>
    </row>
    <row r="203" spans="9:12">
      <c r="I203" s="252"/>
      <c r="J203" s="252"/>
      <c r="K203" s="252"/>
      <c r="L203" s="252"/>
    </row>
    <row r="204" spans="9:12">
      <c r="I204" s="252"/>
      <c r="J204" s="252"/>
      <c r="K204" s="252"/>
      <c r="L204" s="252"/>
    </row>
    <row r="205" spans="9:12">
      <c r="I205" s="252"/>
      <c r="J205" s="252"/>
      <c r="K205" s="252"/>
      <c r="L205" s="252"/>
    </row>
    <row r="206" spans="9:12">
      <c r="I206" s="252"/>
      <c r="J206" s="252"/>
      <c r="K206" s="252"/>
      <c r="L206" s="252"/>
    </row>
    <row r="207" spans="9:12">
      <c r="I207" s="252"/>
      <c r="J207" s="252"/>
      <c r="K207" s="252"/>
      <c r="L207" s="252"/>
    </row>
    <row r="208" spans="9:12">
      <c r="I208" s="252"/>
      <c r="J208" s="252"/>
      <c r="K208" s="252"/>
      <c r="L208" s="252"/>
    </row>
    <row r="209" spans="9:12">
      <c r="I209" s="252"/>
      <c r="J209" s="252"/>
      <c r="K209" s="252"/>
      <c r="L209" s="252"/>
    </row>
    <row r="210" spans="9:12">
      <c r="I210" s="252"/>
      <c r="J210" s="252"/>
      <c r="K210" s="252"/>
      <c r="L210" s="252"/>
    </row>
    <row r="211" spans="9:12">
      <c r="I211" s="252"/>
      <c r="J211" s="252"/>
      <c r="K211" s="252"/>
      <c r="L211" s="252"/>
    </row>
    <row r="212" spans="9:12">
      <c r="I212" s="252"/>
      <c r="J212" s="252"/>
      <c r="K212" s="252"/>
      <c r="L212" s="252"/>
    </row>
    <row r="213" spans="9:12">
      <c r="I213" s="252"/>
      <c r="J213" s="252"/>
      <c r="K213" s="252"/>
      <c r="L213" s="252"/>
    </row>
    <row r="214" spans="9:12">
      <c r="I214" s="252"/>
      <c r="J214" s="252"/>
      <c r="K214" s="252"/>
      <c r="L214" s="252"/>
    </row>
    <row r="215" spans="9:12">
      <c r="I215" s="252"/>
      <c r="J215" s="252"/>
      <c r="K215" s="252"/>
      <c r="L215" s="252"/>
    </row>
    <row r="216" spans="9:12">
      <c r="I216" s="252"/>
      <c r="J216" s="252"/>
      <c r="K216" s="252"/>
      <c r="L216" s="252"/>
    </row>
    <row r="217" spans="9:12">
      <c r="I217" s="252"/>
      <c r="J217" s="252"/>
      <c r="K217" s="252"/>
      <c r="L217" s="252"/>
    </row>
    <row r="218" spans="9:12">
      <c r="I218" s="252"/>
      <c r="J218" s="252"/>
      <c r="K218" s="252"/>
      <c r="L218" s="252"/>
    </row>
    <row r="219" spans="9:12">
      <c r="I219" s="252"/>
      <c r="J219" s="252"/>
      <c r="K219" s="252"/>
      <c r="L219" s="252"/>
    </row>
    <row r="220" spans="9:12">
      <c r="I220" s="252"/>
      <c r="J220" s="252"/>
      <c r="K220" s="252"/>
      <c r="L220" s="252"/>
    </row>
    <row r="221" spans="9:12">
      <c r="I221" s="252"/>
      <c r="J221" s="252"/>
      <c r="K221" s="252"/>
      <c r="L221" s="252"/>
    </row>
    <row r="222" spans="9:12">
      <c r="I222" s="252"/>
      <c r="J222" s="252"/>
      <c r="K222" s="252"/>
      <c r="L222" s="252"/>
    </row>
    <row r="223" spans="9:12">
      <c r="I223" s="252"/>
      <c r="J223" s="252"/>
      <c r="K223" s="252"/>
      <c r="L223" s="252"/>
    </row>
    <row r="224" spans="9:12">
      <c r="I224" s="252"/>
      <c r="J224" s="252"/>
      <c r="K224" s="252"/>
      <c r="L224" s="252"/>
    </row>
    <row r="225" spans="9:12">
      <c r="I225" s="252"/>
      <c r="J225" s="252"/>
      <c r="K225" s="252"/>
      <c r="L225" s="252"/>
    </row>
    <row r="226" spans="9:12">
      <c r="I226" s="252"/>
      <c r="J226" s="252"/>
      <c r="K226" s="252"/>
      <c r="L226" s="252"/>
    </row>
    <row r="227" spans="9:12">
      <c r="I227" s="252"/>
      <c r="J227" s="252"/>
      <c r="K227" s="252"/>
      <c r="L227" s="252"/>
    </row>
    <row r="228" spans="9:12">
      <c r="I228" s="252"/>
      <c r="J228" s="252"/>
      <c r="K228" s="252"/>
      <c r="L228" s="252"/>
    </row>
    <row r="229" spans="9:12">
      <c r="I229" s="252"/>
      <c r="J229" s="252"/>
      <c r="K229" s="252"/>
      <c r="L229" s="252"/>
    </row>
    <row r="230" spans="9:12">
      <c r="I230" s="252"/>
      <c r="J230" s="252"/>
      <c r="K230" s="252"/>
      <c r="L230" s="252"/>
    </row>
    <row r="231" spans="9:12">
      <c r="I231" s="252"/>
      <c r="J231" s="252"/>
      <c r="K231" s="252"/>
      <c r="L231" s="252"/>
    </row>
    <row r="232" spans="9:12">
      <c r="I232" s="252"/>
      <c r="J232" s="252"/>
      <c r="K232" s="252"/>
      <c r="L232" s="252"/>
    </row>
    <row r="233" spans="9:12">
      <c r="I233" s="252"/>
      <c r="J233" s="252"/>
      <c r="K233" s="252"/>
      <c r="L233" s="252"/>
    </row>
    <row r="234" spans="9:12">
      <c r="I234" s="252"/>
      <c r="J234" s="252"/>
      <c r="K234" s="252"/>
      <c r="L234" s="252"/>
    </row>
    <row r="235" spans="9:12">
      <c r="I235" s="252"/>
      <c r="J235" s="252"/>
      <c r="K235" s="252"/>
      <c r="L235" s="252"/>
    </row>
    <row r="236" spans="9:12">
      <c r="I236" s="252"/>
      <c r="J236" s="252"/>
      <c r="K236" s="252"/>
      <c r="L236" s="252"/>
    </row>
    <row r="237" spans="9:12">
      <c r="I237" s="252"/>
      <c r="J237" s="252"/>
      <c r="K237" s="252"/>
      <c r="L237" s="252"/>
    </row>
    <row r="238" spans="9:12">
      <c r="I238" s="252"/>
      <c r="J238" s="252"/>
      <c r="K238" s="252"/>
      <c r="L238" s="252"/>
    </row>
    <row r="239" spans="9:12">
      <c r="I239" s="252"/>
      <c r="J239" s="252"/>
      <c r="K239" s="252"/>
      <c r="L239" s="252"/>
    </row>
    <row r="240" spans="9:12">
      <c r="I240" s="252"/>
      <c r="J240" s="252"/>
      <c r="K240" s="252"/>
      <c r="L240" s="252"/>
    </row>
    <row r="241" spans="9:12">
      <c r="I241" s="252"/>
      <c r="J241" s="252"/>
      <c r="K241" s="252"/>
      <c r="L241" s="252"/>
    </row>
    <row r="242" spans="9:12">
      <c r="I242" s="252"/>
      <c r="J242" s="252"/>
      <c r="K242" s="252"/>
      <c r="L242" s="252"/>
    </row>
    <row r="243" spans="9:12">
      <c r="I243" s="252"/>
      <c r="J243" s="252"/>
      <c r="K243" s="252"/>
      <c r="L243" s="252"/>
    </row>
    <row r="244" spans="9:12">
      <c r="I244" s="252"/>
      <c r="J244" s="252"/>
      <c r="K244" s="252"/>
      <c r="L244" s="252"/>
    </row>
    <row r="245" spans="9:12">
      <c r="I245" s="252"/>
      <c r="J245" s="252"/>
      <c r="K245" s="252"/>
      <c r="L245" s="252"/>
    </row>
    <row r="246" spans="9:12">
      <c r="I246" s="252"/>
      <c r="J246" s="252"/>
      <c r="K246" s="252"/>
      <c r="L246" s="252"/>
    </row>
    <row r="247" spans="9:12">
      <c r="I247" s="252"/>
      <c r="J247" s="252"/>
      <c r="K247" s="252"/>
      <c r="L247" s="252"/>
    </row>
    <row r="248" spans="9:12">
      <c r="I248" s="252"/>
      <c r="J248" s="252"/>
      <c r="K248" s="252"/>
      <c r="L248" s="252"/>
    </row>
    <row r="249" spans="9:12">
      <c r="I249" s="252"/>
      <c r="J249" s="252"/>
      <c r="K249" s="252"/>
      <c r="L249" s="252"/>
    </row>
    <row r="250" spans="9:12">
      <c r="I250" s="252"/>
      <c r="J250" s="252"/>
      <c r="K250" s="252"/>
      <c r="L250" s="252"/>
    </row>
    <row r="251" spans="9:12">
      <c r="I251" s="252"/>
      <c r="J251" s="252"/>
      <c r="K251" s="252"/>
      <c r="L251" s="252"/>
    </row>
    <row r="252" spans="9:12">
      <c r="I252" s="252"/>
      <c r="J252" s="252"/>
      <c r="K252" s="252"/>
      <c r="L252" s="252"/>
    </row>
    <row r="253" spans="9:12">
      <c r="I253" s="252"/>
      <c r="J253" s="252"/>
      <c r="K253" s="252"/>
      <c r="L253" s="252"/>
    </row>
    <row r="254" spans="9:12">
      <c r="I254" s="252"/>
      <c r="J254" s="252"/>
      <c r="K254" s="252"/>
      <c r="L254" s="252"/>
    </row>
    <row r="255" spans="9:12">
      <c r="I255" s="252"/>
      <c r="J255" s="252"/>
      <c r="K255" s="252"/>
      <c r="L255" s="252"/>
    </row>
    <row r="256" spans="9:12">
      <c r="I256" s="252"/>
      <c r="J256" s="252"/>
      <c r="K256" s="252"/>
      <c r="L256" s="252"/>
    </row>
    <row r="257" spans="9:12">
      <c r="I257" s="252"/>
      <c r="J257" s="252"/>
      <c r="K257" s="252"/>
      <c r="L257" s="252"/>
    </row>
    <row r="258" spans="9:12">
      <c r="I258" s="252"/>
      <c r="J258" s="252"/>
      <c r="K258" s="252"/>
      <c r="L258" s="252"/>
    </row>
    <row r="259" spans="9:12">
      <c r="I259" s="252"/>
      <c r="J259" s="252"/>
      <c r="K259" s="252"/>
      <c r="L259" s="252"/>
    </row>
    <row r="260" spans="9:12">
      <c r="I260" s="252"/>
      <c r="J260" s="252"/>
      <c r="K260" s="252"/>
      <c r="L260" s="252"/>
    </row>
    <row r="261" spans="9:12">
      <c r="I261" s="252"/>
      <c r="J261" s="252"/>
      <c r="K261" s="252"/>
      <c r="L261" s="252"/>
    </row>
    <row r="262" spans="9:12">
      <c r="I262" s="252"/>
      <c r="J262" s="252"/>
      <c r="K262" s="252"/>
      <c r="L262" s="252"/>
    </row>
    <row r="263" spans="9:12">
      <c r="I263" s="252"/>
      <c r="J263" s="252"/>
      <c r="K263" s="252"/>
      <c r="L263" s="252"/>
    </row>
    <row r="264" spans="9:12">
      <c r="I264" s="252"/>
      <c r="J264" s="252"/>
      <c r="K264" s="252"/>
      <c r="L264" s="252"/>
    </row>
    <row r="265" spans="9:12">
      <c r="I265" s="252"/>
      <c r="J265" s="252"/>
      <c r="K265" s="252"/>
      <c r="L265" s="252"/>
    </row>
    <row r="266" spans="9:12">
      <c r="I266" s="252"/>
      <c r="J266" s="252"/>
      <c r="K266" s="252"/>
      <c r="L266" s="252"/>
    </row>
    <row r="267" spans="9:12">
      <c r="I267" s="252"/>
      <c r="J267" s="252"/>
      <c r="K267" s="252"/>
      <c r="L267" s="252"/>
    </row>
    <row r="268" spans="9:12">
      <c r="I268" s="252"/>
      <c r="J268" s="252"/>
      <c r="K268" s="252"/>
      <c r="L268" s="252"/>
    </row>
    <row r="269" spans="9:12">
      <c r="I269" s="252"/>
      <c r="J269" s="252"/>
      <c r="K269" s="252"/>
      <c r="L269" s="252"/>
    </row>
    <row r="270" spans="9:12">
      <c r="I270" s="252"/>
      <c r="J270" s="252"/>
      <c r="K270" s="252"/>
      <c r="L270" s="252"/>
    </row>
    <row r="271" spans="9:12">
      <c r="I271" s="252"/>
      <c r="J271" s="252"/>
      <c r="K271" s="252"/>
      <c r="L271" s="252"/>
    </row>
    <row r="272" spans="9:12">
      <c r="I272" s="252"/>
      <c r="J272" s="252"/>
      <c r="K272" s="252"/>
      <c r="L272" s="252"/>
    </row>
    <row r="273" spans="9:12">
      <c r="I273" s="252"/>
      <c r="J273" s="252"/>
      <c r="K273" s="252"/>
      <c r="L273" s="252"/>
    </row>
    <row r="274" spans="9:12">
      <c r="I274" s="252"/>
      <c r="J274" s="252"/>
      <c r="K274" s="252"/>
      <c r="L274" s="252"/>
    </row>
    <row r="275" spans="9:12">
      <c r="I275" s="252"/>
      <c r="J275" s="252"/>
      <c r="K275" s="252"/>
      <c r="L275" s="252"/>
    </row>
    <row r="276" spans="9:12">
      <c r="I276" s="252"/>
      <c r="J276" s="252"/>
      <c r="K276" s="252"/>
      <c r="L276" s="252"/>
    </row>
    <row r="277" spans="9:12">
      <c r="I277" s="252"/>
      <c r="J277" s="252"/>
      <c r="K277" s="252"/>
      <c r="L277" s="252"/>
    </row>
    <row r="278" spans="9:12">
      <c r="I278" s="252"/>
      <c r="J278" s="252"/>
      <c r="K278" s="252"/>
      <c r="L278" s="252"/>
    </row>
    <row r="279" spans="9:12">
      <c r="I279" s="252"/>
      <c r="J279" s="252"/>
      <c r="K279" s="252"/>
      <c r="L279" s="252"/>
    </row>
    <row r="280" spans="9:12">
      <c r="I280" s="252"/>
      <c r="J280" s="252"/>
      <c r="K280" s="252"/>
      <c r="L280" s="252"/>
    </row>
    <row r="281" spans="9:12">
      <c r="I281" s="252"/>
      <c r="J281" s="252"/>
      <c r="K281" s="252"/>
      <c r="L281" s="252"/>
    </row>
    <row r="282" spans="9:12">
      <c r="I282" s="252"/>
      <c r="J282" s="252"/>
      <c r="K282" s="252"/>
      <c r="L282" s="252"/>
    </row>
    <row r="283" spans="9:12">
      <c r="I283" s="252"/>
      <c r="J283" s="252"/>
      <c r="K283" s="252"/>
      <c r="L283" s="252"/>
    </row>
    <row r="284" spans="9:12">
      <c r="I284" s="252"/>
      <c r="J284" s="252"/>
      <c r="K284" s="252"/>
      <c r="L284" s="252"/>
    </row>
    <row r="285" spans="9:12">
      <c r="I285" s="252"/>
      <c r="J285" s="252"/>
      <c r="K285" s="252"/>
      <c r="L285" s="252"/>
    </row>
    <row r="286" spans="9:12">
      <c r="I286" s="252"/>
      <c r="J286" s="252"/>
      <c r="K286" s="252"/>
      <c r="L286" s="252"/>
    </row>
    <row r="287" spans="9:12">
      <c r="I287" s="252"/>
      <c r="J287" s="252"/>
      <c r="K287" s="252"/>
      <c r="L287" s="252"/>
    </row>
    <row r="288" spans="9:12">
      <c r="I288" s="252"/>
      <c r="J288" s="252"/>
      <c r="K288" s="252"/>
      <c r="L288" s="252"/>
    </row>
    <row r="289" spans="9:12">
      <c r="I289" s="252"/>
      <c r="J289" s="252"/>
      <c r="K289" s="252"/>
      <c r="L289" s="252"/>
    </row>
    <row r="290" spans="9:12">
      <c r="I290" s="252"/>
      <c r="J290" s="252"/>
      <c r="K290" s="252"/>
      <c r="L290" s="252"/>
    </row>
    <row r="291" spans="9:12">
      <c r="I291" s="252"/>
      <c r="J291" s="252"/>
      <c r="K291" s="252"/>
      <c r="L291" s="252"/>
    </row>
    <row r="292" spans="9:12">
      <c r="I292" s="252"/>
      <c r="J292" s="252"/>
      <c r="K292" s="252"/>
      <c r="L292" s="252"/>
    </row>
    <row r="293" spans="9:12">
      <c r="I293" s="252"/>
      <c r="J293" s="252"/>
      <c r="K293" s="252"/>
      <c r="L293" s="252"/>
    </row>
    <row r="294" spans="9:12">
      <c r="I294" s="252"/>
      <c r="J294" s="252"/>
      <c r="K294" s="252"/>
      <c r="L294" s="252"/>
    </row>
    <row r="295" spans="9:12">
      <c r="I295" s="252"/>
      <c r="J295" s="252"/>
      <c r="K295" s="252"/>
      <c r="L295" s="252"/>
    </row>
    <row r="296" spans="9:12">
      <c r="I296" s="252"/>
      <c r="J296" s="252"/>
      <c r="K296" s="252"/>
      <c r="L296" s="252"/>
    </row>
    <row r="297" spans="9:12">
      <c r="I297" s="252"/>
      <c r="J297" s="252"/>
      <c r="K297" s="252"/>
      <c r="L297" s="252"/>
    </row>
    <row r="298" spans="9:12">
      <c r="I298" s="252"/>
      <c r="J298" s="252"/>
      <c r="K298" s="252"/>
      <c r="L298" s="252"/>
    </row>
    <row r="299" spans="9:12">
      <c r="I299" s="252"/>
      <c r="J299" s="252"/>
      <c r="K299" s="252"/>
      <c r="L299" s="252"/>
    </row>
    <row r="300" spans="9:12">
      <c r="I300" s="252"/>
      <c r="J300" s="252"/>
      <c r="K300" s="252"/>
      <c r="L300" s="252"/>
    </row>
    <row r="301" spans="9:12">
      <c r="I301" s="252"/>
      <c r="J301" s="252"/>
      <c r="K301" s="252"/>
      <c r="L301" s="252"/>
    </row>
    <row r="302" spans="9:12">
      <c r="I302" s="252"/>
      <c r="J302" s="252"/>
      <c r="K302" s="252"/>
      <c r="L302" s="252"/>
    </row>
    <row r="303" spans="9:12">
      <c r="I303" s="252"/>
      <c r="J303" s="252"/>
      <c r="K303" s="252"/>
      <c r="L303" s="252"/>
    </row>
    <row r="304" spans="9:12">
      <c r="I304" s="252"/>
      <c r="J304" s="252"/>
      <c r="K304" s="252"/>
      <c r="L304" s="252"/>
    </row>
    <row r="305" spans="9:12">
      <c r="I305" s="252"/>
      <c r="J305" s="252"/>
      <c r="K305" s="252"/>
      <c r="L305" s="252"/>
    </row>
    <row r="306" spans="9:12">
      <c r="I306" s="252"/>
      <c r="J306" s="252"/>
      <c r="K306" s="252"/>
      <c r="L306" s="252"/>
    </row>
    <row r="307" spans="9:12">
      <c r="I307" s="252"/>
      <c r="J307" s="252"/>
      <c r="K307" s="252"/>
      <c r="L307" s="252"/>
    </row>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row r="2239" s="22" customFormat="1"/>
    <row r="2240" s="22" customFormat="1"/>
    <row r="2241" s="22" customFormat="1"/>
    <row r="2242" s="22" customFormat="1"/>
    <row r="2243" s="22" customFormat="1"/>
    <row r="2244" s="22" customFormat="1"/>
    <row r="2245" s="22" customFormat="1"/>
    <row r="2246" s="22" customFormat="1"/>
    <row r="2247" s="22" customFormat="1"/>
  </sheetData>
  <mergeCells count="8">
    <mergeCell ref="G12:I12"/>
    <mergeCell ref="D12:F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23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2" customWidth="1"/>
    <col min="2" max="2" width="34.54296875" style="22" customWidth="1"/>
    <col min="3" max="10" width="15.81640625" style="22" customWidth="1"/>
    <col min="11" max="11" width="1.1796875" style="22" customWidth="1"/>
    <col min="12" max="12" width="3.1796875" style="22" customWidth="1"/>
    <col min="13" max="16384" width="9.1796875" style="22"/>
  </cols>
  <sheetData>
    <row r="1" spans="1:16" ht="6" customHeight="1">
      <c r="A1" s="222"/>
      <c r="B1" s="223"/>
      <c r="C1" s="223"/>
      <c r="D1" s="223"/>
      <c r="E1" s="223"/>
      <c r="F1" s="223"/>
      <c r="G1" s="223"/>
      <c r="H1" s="223"/>
      <c r="I1" s="223"/>
      <c r="J1" s="223"/>
      <c r="K1" s="224"/>
    </row>
    <row r="2" spans="1:16" ht="18">
      <c r="A2" s="225"/>
      <c r="B2" s="226" t="str">
        <f>'Cover Sheet'!B2</f>
        <v>SC Germany Consumer 2024-1</v>
      </c>
      <c r="C2" s="226"/>
      <c r="D2" s="227" t="str">
        <f>'Cover Sheet'!D2</f>
        <v>Calculation Date</v>
      </c>
      <c r="E2" s="228"/>
      <c r="F2" s="229">
        <f>'Cover Sheet'!F2</f>
        <v>45911</v>
      </c>
      <c r="G2" s="228"/>
      <c r="H2" s="228"/>
      <c r="I2" s="228"/>
      <c r="J2" s="230"/>
      <c r="K2" s="298"/>
    </row>
    <row r="3" spans="1:16" ht="18">
      <c r="A3" s="225"/>
      <c r="B3" s="226" t="str">
        <f>'Cover Sheet'!B3</f>
        <v>Monthly Investor Report</v>
      </c>
      <c r="C3" s="226"/>
      <c r="D3" s="232" t="str">
        <f>'Cover Sheet'!D3</f>
        <v>Payment Date</v>
      </c>
      <c r="E3" s="233"/>
      <c r="F3" s="234">
        <f>'Cover Sheet'!F3</f>
        <v>45915</v>
      </c>
      <c r="G3" s="233"/>
      <c r="H3" s="233"/>
      <c r="I3" s="233"/>
      <c r="J3" s="235"/>
      <c r="K3" s="299"/>
    </row>
    <row r="4" spans="1:16" ht="13">
      <c r="A4" s="225"/>
      <c r="B4" s="236"/>
      <c r="C4" s="109"/>
      <c r="D4" s="232" t="str">
        <f>'Cover Sheet'!D4</f>
        <v>Period  No</v>
      </c>
      <c r="E4" s="233"/>
      <c r="F4" s="237">
        <f>'Cover Sheet'!F4</f>
        <v>16</v>
      </c>
      <c r="G4" s="233"/>
      <c r="H4" s="238"/>
      <c r="I4" s="233"/>
      <c r="J4" s="239"/>
      <c r="K4" s="298"/>
    </row>
    <row r="5" spans="1:16" ht="18">
      <c r="A5" s="225"/>
      <c r="B5" s="240" t="s">
        <v>360</v>
      </c>
      <c r="C5" s="240"/>
      <c r="D5" s="232" t="str">
        <f>'Cover Sheet'!D5</f>
        <v>Monthly Period</v>
      </c>
      <c r="E5" s="233"/>
      <c r="F5" s="130">
        <f>'Cover Sheet'!F5</f>
        <v>45915</v>
      </c>
      <c r="G5" s="233"/>
      <c r="H5" s="238"/>
      <c r="I5" s="233"/>
      <c r="J5" s="239"/>
      <c r="K5" s="299"/>
    </row>
    <row r="6" spans="1:16" ht="15" customHeight="1">
      <c r="A6" s="225"/>
      <c r="B6" s="241"/>
      <c r="C6" s="236"/>
      <c r="D6" s="242" t="str">
        <f>'Cover Sheet'!D6</f>
        <v>Interest Period</v>
      </c>
      <c r="E6" s="234" t="s">
        <v>34</v>
      </c>
      <c r="F6" s="234">
        <f>'Cover Sheet'!F6</f>
        <v>45883</v>
      </c>
      <c r="G6" s="234" t="s">
        <v>4</v>
      </c>
      <c r="H6" s="234">
        <f>'Cover Sheet'!H6</f>
        <v>45915</v>
      </c>
      <c r="I6" s="243" t="s">
        <v>15</v>
      </c>
      <c r="J6" s="244" t="str">
        <f>'Cover Sheet'!J6</f>
        <v>32 days</v>
      </c>
      <c r="K6" s="299"/>
      <c r="M6" s="300"/>
    </row>
    <row r="7" spans="1:16" ht="13">
      <c r="A7" s="225"/>
      <c r="D7" s="246" t="str">
        <f>'Cover Sheet'!D7</f>
        <v>Collection Period</v>
      </c>
      <c r="E7" s="247" t="s">
        <v>34</v>
      </c>
      <c r="F7" s="247" t="str">
        <f>'Cover Sheet'!F7</f>
        <v>01.08.2025</v>
      </c>
      <c r="G7" s="247" t="s">
        <v>4</v>
      </c>
      <c r="H7" s="247">
        <f>'Cover Sheet'!H7</f>
        <v>45900</v>
      </c>
      <c r="I7" s="248"/>
      <c r="J7" s="249"/>
      <c r="K7" s="299"/>
    </row>
    <row r="8" spans="1:16" ht="13">
      <c r="A8" s="225"/>
      <c r="E8" s="231"/>
      <c r="F8" s="5"/>
      <c r="G8" s="231"/>
      <c r="I8" s="250"/>
      <c r="K8" s="299"/>
    </row>
    <row r="9" spans="1:16" ht="13">
      <c r="A9" s="225"/>
      <c r="K9" s="94"/>
      <c r="M9" s="21"/>
    </row>
    <row r="10" spans="1:16">
      <c r="A10" s="225"/>
      <c r="F10" s="252"/>
      <c r="K10" s="94"/>
    </row>
    <row r="11" spans="1:16" ht="17.5">
      <c r="A11" s="225"/>
      <c r="B11" s="253"/>
      <c r="G11" s="254"/>
      <c r="H11" s="254"/>
      <c r="K11" s="94"/>
      <c r="M11" s="252"/>
    </row>
    <row r="12" spans="1:16" ht="12.75" customHeight="1">
      <c r="A12" s="225"/>
      <c r="B12" s="301"/>
      <c r="G12" s="254"/>
      <c r="H12" s="254"/>
      <c r="K12" s="94"/>
      <c r="M12" s="252"/>
    </row>
    <row r="13" spans="1:16" ht="12.75" customHeight="1">
      <c r="A13" s="225"/>
      <c r="B13" s="20" t="s">
        <v>186</v>
      </c>
      <c r="D13" s="21" t="s">
        <v>734</v>
      </c>
      <c r="F13" s="302"/>
      <c r="G13" s="303"/>
      <c r="H13" s="303"/>
      <c r="I13" s="252"/>
      <c r="K13" s="94"/>
      <c r="M13" s="252"/>
      <c r="P13" s="21"/>
    </row>
    <row r="14" spans="1:16" ht="12.75" customHeight="1">
      <c r="A14" s="225"/>
      <c r="B14" s="20"/>
      <c r="F14" s="304"/>
      <c r="G14" s="304"/>
      <c r="H14" s="305"/>
      <c r="I14" s="168"/>
      <c r="K14" s="94"/>
      <c r="M14" s="252"/>
    </row>
    <row r="15" spans="1:16" ht="12.75" customHeight="1">
      <c r="A15" s="225"/>
      <c r="B15" s="20" t="s">
        <v>187</v>
      </c>
      <c r="D15" s="21" t="s">
        <v>735</v>
      </c>
      <c r="F15" s="23"/>
      <c r="G15" s="23"/>
      <c r="H15" s="306"/>
      <c r="I15" s="206"/>
      <c r="K15" s="94"/>
      <c r="M15" s="252"/>
      <c r="P15" s="21"/>
    </row>
    <row r="16" spans="1:16" ht="12.75" customHeight="1">
      <c r="A16" s="225"/>
      <c r="B16" s="20"/>
      <c r="D16" s="22" t="s">
        <v>192</v>
      </c>
      <c r="F16" s="23"/>
      <c r="G16" s="23"/>
      <c r="H16" s="306"/>
      <c r="I16" s="206"/>
      <c r="K16" s="94"/>
      <c r="M16" s="252"/>
    </row>
    <row r="17" spans="1:16" ht="12.75" customHeight="1">
      <c r="A17" s="225"/>
      <c r="B17" s="20"/>
      <c r="D17" s="65" t="s">
        <v>249</v>
      </c>
      <c r="E17" s="62"/>
      <c r="F17" s="307"/>
      <c r="G17" s="23"/>
      <c r="H17" s="306"/>
      <c r="I17" s="206"/>
      <c r="K17" s="94"/>
      <c r="M17" s="252"/>
    </row>
    <row r="18" spans="1:16" ht="12.75" customHeight="1">
      <c r="A18" s="225"/>
      <c r="B18" s="20"/>
      <c r="D18" s="65" t="s">
        <v>251</v>
      </c>
      <c r="E18" s="62"/>
      <c r="F18" s="307"/>
      <c r="G18" s="23"/>
      <c r="H18" s="306"/>
      <c r="I18" s="206"/>
      <c r="K18" s="94"/>
      <c r="M18" s="252"/>
    </row>
    <row r="19" spans="1:16" ht="12.75" customHeight="1">
      <c r="A19" s="225"/>
      <c r="B19" s="20"/>
      <c r="D19" s="65" t="s">
        <v>250</v>
      </c>
      <c r="E19" s="62"/>
      <c r="F19" s="307"/>
      <c r="G19" s="23"/>
      <c r="H19" s="306"/>
      <c r="I19" s="206"/>
      <c r="K19" s="94"/>
      <c r="M19" s="252"/>
    </row>
    <row r="20" spans="1:16" ht="12.75" customHeight="1">
      <c r="A20" s="225"/>
      <c r="B20" s="20"/>
      <c r="F20" s="23"/>
      <c r="G20" s="23"/>
      <c r="H20" s="306"/>
      <c r="I20" s="206"/>
      <c r="K20" s="94"/>
      <c r="M20" s="252"/>
    </row>
    <row r="21" spans="1:16" ht="12.75" customHeight="1">
      <c r="A21" s="225"/>
      <c r="B21" s="20" t="s">
        <v>203</v>
      </c>
      <c r="D21" s="22" t="s">
        <v>377</v>
      </c>
      <c r="E21" s="65"/>
      <c r="F21" s="23"/>
      <c r="G21" s="23"/>
      <c r="H21" s="306"/>
      <c r="I21" s="206"/>
      <c r="K21" s="94"/>
      <c r="M21" s="252"/>
    </row>
    <row r="22" spans="1:16" ht="12.75" customHeight="1">
      <c r="A22" s="225"/>
      <c r="B22" s="20"/>
      <c r="F22" s="23"/>
      <c r="G22" s="23"/>
      <c r="H22" s="306"/>
      <c r="I22" s="206"/>
      <c r="K22" s="94"/>
      <c r="M22" s="252"/>
    </row>
    <row r="23" spans="1:16" ht="12.75" customHeight="1">
      <c r="A23" s="225"/>
      <c r="B23" s="20" t="s">
        <v>188</v>
      </c>
      <c r="D23" s="21" t="s">
        <v>194</v>
      </c>
      <c r="F23" s="23"/>
      <c r="G23" s="23"/>
      <c r="H23" s="306"/>
      <c r="I23" s="206"/>
      <c r="K23" s="94"/>
      <c r="M23" s="252"/>
      <c r="P23" s="21"/>
    </row>
    <row r="24" spans="1:16" ht="12.75" customHeight="1">
      <c r="A24" s="225"/>
      <c r="B24" s="20"/>
      <c r="F24" s="23"/>
      <c r="G24" s="23"/>
      <c r="H24" s="306"/>
      <c r="I24" s="206"/>
      <c r="K24" s="94"/>
      <c r="M24" s="252"/>
    </row>
    <row r="25" spans="1:16" ht="12.75" customHeight="1">
      <c r="A25" s="225"/>
      <c r="B25" s="20" t="s">
        <v>189</v>
      </c>
      <c r="D25" s="21" t="s">
        <v>194</v>
      </c>
      <c r="F25" s="23"/>
      <c r="G25" s="23"/>
      <c r="H25" s="306"/>
      <c r="I25" s="206"/>
      <c r="K25" s="94"/>
      <c r="M25" s="252"/>
      <c r="P25" s="21"/>
    </row>
    <row r="26" spans="1:16" ht="12.75" customHeight="1">
      <c r="A26" s="225"/>
      <c r="B26" s="20"/>
      <c r="F26" s="23"/>
      <c r="G26" s="23"/>
      <c r="H26" s="306"/>
      <c r="I26" s="206"/>
      <c r="K26" s="94"/>
      <c r="M26" s="252"/>
    </row>
    <row r="27" spans="1:16" ht="12.75" customHeight="1">
      <c r="A27" s="225"/>
      <c r="B27" s="20" t="s">
        <v>190</v>
      </c>
      <c r="D27" s="21" t="s">
        <v>194</v>
      </c>
      <c r="F27" s="24"/>
      <c r="G27" s="24"/>
      <c r="H27" s="306"/>
      <c r="I27" s="206"/>
      <c r="K27" s="94"/>
      <c r="M27" s="252"/>
      <c r="P27" s="21"/>
    </row>
    <row r="28" spans="1:16" ht="12.75" customHeight="1">
      <c r="A28" s="225"/>
      <c r="B28" s="20"/>
      <c r="D28" s="22" t="s">
        <v>113</v>
      </c>
      <c r="F28" s="308"/>
      <c r="G28" s="309"/>
      <c r="H28" s="306"/>
      <c r="I28" s="206"/>
      <c r="K28" s="94"/>
      <c r="M28" s="252"/>
    </row>
    <row r="29" spans="1:16" ht="12.75" customHeight="1">
      <c r="A29" s="225"/>
      <c r="D29" s="22" t="s">
        <v>195</v>
      </c>
      <c r="F29" s="23"/>
      <c r="G29" s="23"/>
      <c r="H29" s="306"/>
      <c r="I29" s="206"/>
      <c r="K29" s="94"/>
      <c r="M29" s="252"/>
    </row>
    <row r="30" spans="1:16" ht="12.75" customHeight="1">
      <c r="A30" s="225"/>
      <c r="B30" s="20"/>
      <c r="D30" s="22" t="s">
        <v>196</v>
      </c>
      <c r="F30" s="23"/>
      <c r="G30" s="23"/>
      <c r="H30" s="306"/>
      <c r="I30" s="211"/>
      <c r="K30" s="94"/>
      <c r="M30" s="252"/>
    </row>
    <row r="31" spans="1:16" ht="12.75" customHeight="1">
      <c r="A31" s="225"/>
      <c r="B31" s="20"/>
      <c r="D31" s="22" t="s">
        <v>193</v>
      </c>
      <c r="F31" s="310"/>
      <c r="G31" s="311"/>
      <c r="H31" s="310"/>
      <c r="K31" s="94"/>
      <c r="M31" s="252"/>
    </row>
    <row r="32" spans="1:16" ht="12.75" customHeight="1">
      <c r="A32" s="225"/>
      <c r="B32" s="20"/>
      <c r="D32" s="22" t="s">
        <v>197</v>
      </c>
      <c r="F32" s="25"/>
      <c r="G32" s="25"/>
      <c r="H32" s="25"/>
      <c r="I32" s="25"/>
      <c r="K32" s="94"/>
      <c r="M32" s="252"/>
    </row>
    <row r="33" spans="1:16" ht="12.75" customHeight="1">
      <c r="A33" s="225"/>
      <c r="B33" s="20"/>
      <c r="F33" s="25"/>
      <c r="G33" s="25"/>
      <c r="H33" s="25"/>
      <c r="I33" s="25"/>
      <c r="K33" s="94"/>
      <c r="M33" s="252"/>
    </row>
    <row r="34" spans="1:16" ht="12.75" customHeight="1">
      <c r="A34" s="225"/>
      <c r="B34" s="20"/>
      <c r="F34" s="25"/>
      <c r="G34" s="25"/>
      <c r="H34" s="25"/>
      <c r="I34" s="25"/>
      <c r="K34" s="94"/>
      <c r="M34" s="252"/>
    </row>
    <row r="35" spans="1:16" ht="12.75" customHeight="1">
      <c r="A35" s="225"/>
      <c r="B35" s="20" t="s">
        <v>191</v>
      </c>
      <c r="D35" s="66" t="s">
        <v>252</v>
      </c>
      <c r="E35" s="62"/>
      <c r="F35" s="63"/>
      <c r="G35" s="25"/>
      <c r="H35" s="25"/>
      <c r="I35" s="25"/>
      <c r="K35" s="94"/>
      <c r="M35" s="252"/>
      <c r="P35" s="21"/>
    </row>
    <row r="36" spans="1:16" ht="12.75" customHeight="1">
      <c r="A36" s="225"/>
      <c r="B36" s="20"/>
      <c r="D36" s="65" t="s">
        <v>249</v>
      </c>
      <c r="E36" s="62"/>
      <c r="F36" s="63"/>
      <c r="G36" s="25"/>
      <c r="H36" s="25"/>
      <c r="I36" s="252"/>
      <c r="J36" s="252"/>
      <c r="K36" s="94"/>
    </row>
    <row r="37" spans="1:16" ht="12.75" customHeight="1">
      <c r="A37" s="225"/>
      <c r="D37" s="65" t="s">
        <v>251</v>
      </c>
      <c r="E37" s="62"/>
      <c r="F37" s="63"/>
      <c r="G37" s="25"/>
      <c r="H37" s="25"/>
      <c r="I37" s="252"/>
      <c r="K37" s="94"/>
    </row>
    <row r="38" spans="1:16" ht="12.75" customHeight="1">
      <c r="A38" s="225"/>
      <c r="B38" s="20"/>
      <c r="D38" s="65" t="s">
        <v>250</v>
      </c>
      <c r="E38" s="62"/>
      <c r="F38" s="63"/>
      <c r="G38" s="25"/>
      <c r="H38" s="25"/>
      <c r="K38" s="94"/>
    </row>
    <row r="39" spans="1:16" ht="12.75" customHeight="1">
      <c r="A39" s="225"/>
      <c r="B39" s="20"/>
      <c r="D39" s="62"/>
      <c r="E39" s="62"/>
      <c r="F39" s="63"/>
      <c r="G39" s="25"/>
      <c r="H39" s="25"/>
      <c r="K39" s="94"/>
    </row>
    <row r="40" spans="1:16" ht="12.75" customHeight="1">
      <c r="A40" s="225"/>
      <c r="B40" s="20"/>
      <c r="D40" s="62"/>
      <c r="E40" s="62"/>
      <c r="F40" s="63"/>
      <c r="G40" s="25"/>
      <c r="H40" s="25"/>
      <c r="I40" s="252"/>
      <c r="K40" s="94"/>
    </row>
    <row r="41" spans="1:16" ht="12.75" customHeight="1">
      <c r="A41" s="289"/>
      <c r="B41" s="26"/>
      <c r="C41" s="10"/>
      <c r="D41" s="312"/>
      <c r="E41" s="10"/>
      <c r="F41" s="290"/>
      <c r="G41" s="313"/>
      <c r="H41" s="290"/>
      <c r="I41" s="291"/>
      <c r="J41" s="35"/>
      <c r="K41" s="95"/>
    </row>
    <row r="43" spans="1:16">
      <c r="B43" s="13"/>
      <c r="C43" s="12"/>
      <c r="D43" s="184"/>
      <c r="E43" s="12"/>
      <c r="F43" s="185"/>
      <c r="G43" s="186"/>
      <c r="H43" s="185"/>
      <c r="I43" s="252"/>
    </row>
    <row r="44" spans="1:16">
      <c r="B44" s="13"/>
      <c r="C44" s="12"/>
      <c r="D44" s="184"/>
      <c r="E44" s="12"/>
      <c r="F44" s="185"/>
      <c r="G44" s="186"/>
      <c r="H44" s="185"/>
      <c r="I44" s="252"/>
    </row>
    <row r="45" spans="1:16">
      <c r="B45" s="13"/>
      <c r="C45" s="12"/>
      <c r="D45" s="184"/>
      <c r="E45" s="12"/>
      <c r="F45" s="185"/>
      <c r="G45" s="186"/>
      <c r="H45" s="185"/>
      <c r="I45" s="252"/>
    </row>
    <row r="46" spans="1:16" ht="15.5">
      <c r="B46" s="13"/>
      <c r="C46" s="25"/>
      <c r="D46" s="184"/>
      <c r="E46" s="12"/>
      <c r="F46" s="185"/>
      <c r="G46" s="186"/>
      <c r="H46" s="185"/>
      <c r="I46" s="252"/>
    </row>
    <row r="47" spans="1:16" ht="15.5">
      <c r="B47" s="13"/>
      <c r="C47" s="25"/>
      <c r="D47" s="184"/>
      <c r="E47" s="12"/>
      <c r="F47" s="185"/>
      <c r="G47" s="186"/>
      <c r="H47" s="185"/>
      <c r="I47" s="252"/>
    </row>
    <row r="48" spans="1:16" ht="15.5">
      <c r="B48" s="13"/>
      <c r="C48" s="27"/>
      <c r="D48" s="184"/>
      <c r="E48" s="12"/>
      <c r="F48" s="185"/>
      <c r="G48" s="186"/>
      <c r="H48" s="185"/>
      <c r="I48" s="252"/>
    </row>
    <row r="49" spans="2:9" ht="15.5">
      <c r="B49" s="13"/>
      <c r="C49" s="27"/>
      <c r="D49" s="184"/>
      <c r="E49" s="12"/>
      <c r="F49" s="185"/>
      <c r="G49" s="186"/>
      <c r="H49" s="185"/>
      <c r="I49" s="252"/>
    </row>
    <row r="50" spans="2:9" ht="15.5">
      <c r="B50" s="13"/>
      <c r="C50" s="27"/>
      <c r="D50" s="184"/>
      <c r="E50" s="12"/>
      <c r="F50" s="185"/>
      <c r="G50" s="186"/>
      <c r="H50" s="185"/>
      <c r="I50" s="252"/>
    </row>
    <row r="51" spans="2:9" ht="15.5">
      <c r="B51" s="13"/>
      <c r="C51" s="27"/>
      <c r="D51" s="184"/>
      <c r="E51" s="12"/>
      <c r="F51" s="185"/>
      <c r="G51" s="186"/>
      <c r="H51" s="185"/>
      <c r="I51" s="252"/>
    </row>
    <row r="52" spans="2:9" ht="15.5">
      <c r="B52" s="13"/>
      <c r="C52" s="27"/>
      <c r="D52" s="184"/>
      <c r="E52" s="12"/>
      <c r="F52" s="185"/>
      <c r="G52" s="186"/>
      <c r="H52" s="185"/>
      <c r="I52" s="252"/>
    </row>
    <row r="53" spans="2:9" ht="15.5">
      <c r="B53" s="13"/>
      <c r="C53" s="27"/>
      <c r="D53" s="184"/>
      <c r="E53" s="12"/>
      <c r="F53" s="185"/>
      <c r="G53" s="186"/>
      <c r="H53" s="185"/>
      <c r="I53" s="252"/>
    </row>
    <row r="54" spans="2:9">
      <c r="B54" s="13"/>
      <c r="C54" s="12"/>
      <c r="D54" s="184"/>
      <c r="E54" s="12"/>
      <c r="F54" s="185"/>
      <c r="G54" s="186"/>
      <c r="H54" s="185"/>
      <c r="I54" s="252"/>
    </row>
    <row r="55" spans="2:9">
      <c r="B55" s="13"/>
      <c r="C55" s="12"/>
      <c r="D55" s="184"/>
      <c r="E55" s="12"/>
      <c r="F55" s="185"/>
      <c r="G55" s="186"/>
      <c r="H55" s="185"/>
      <c r="I55" s="252"/>
    </row>
    <row r="56" spans="2:9">
      <c r="B56" s="13"/>
      <c r="C56" s="12"/>
      <c r="D56" s="184"/>
      <c r="E56" s="12"/>
      <c r="F56" s="185"/>
      <c r="G56" s="186"/>
      <c r="H56" s="185"/>
      <c r="I56" s="252"/>
    </row>
    <row r="57" spans="2:9">
      <c r="B57" s="13"/>
      <c r="C57" s="12"/>
      <c r="D57" s="184"/>
      <c r="E57" s="12"/>
      <c r="F57" s="185"/>
      <c r="G57" s="186"/>
      <c r="H57" s="185"/>
      <c r="I57" s="252"/>
    </row>
    <row r="58" spans="2:9">
      <c r="B58" s="13"/>
      <c r="C58" s="12"/>
      <c r="D58" s="184"/>
      <c r="E58" s="12"/>
      <c r="F58" s="185"/>
      <c r="G58" s="186"/>
      <c r="H58" s="185"/>
      <c r="I58" s="252"/>
    </row>
    <row r="59" spans="2:9">
      <c r="B59" s="13"/>
      <c r="C59" s="12"/>
      <c r="D59" s="184"/>
      <c r="E59" s="12"/>
      <c r="F59" s="185"/>
      <c r="G59" s="186"/>
      <c r="H59" s="185"/>
      <c r="I59" s="252"/>
    </row>
    <row r="60" spans="2:9">
      <c r="B60" s="13"/>
      <c r="C60" s="12"/>
      <c r="D60" s="184"/>
      <c r="E60" s="12"/>
      <c r="F60" s="185"/>
      <c r="G60" s="186"/>
      <c r="H60" s="185"/>
      <c r="I60" s="252"/>
    </row>
    <row r="61" spans="2:9">
      <c r="B61" s="13"/>
      <c r="C61" s="12"/>
      <c r="D61" s="184"/>
      <c r="E61" s="12"/>
      <c r="F61" s="185"/>
      <c r="G61" s="186"/>
      <c r="H61" s="185"/>
      <c r="I61" s="252"/>
    </row>
    <row r="62" spans="2:9">
      <c r="B62" s="13"/>
      <c r="C62" s="12"/>
      <c r="D62" s="184"/>
      <c r="E62" s="12"/>
      <c r="F62" s="185"/>
      <c r="G62" s="186"/>
      <c r="H62" s="185"/>
      <c r="I62" s="252"/>
    </row>
    <row r="63" spans="2:9">
      <c r="B63" s="13"/>
      <c r="C63" s="12"/>
      <c r="D63" s="184"/>
      <c r="E63" s="12"/>
      <c r="F63" s="185"/>
      <c r="G63" s="186"/>
      <c r="H63" s="185"/>
      <c r="I63" s="252"/>
    </row>
    <row r="64" spans="2:9">
      <c r="B64" s="13"/>
      <c r="C64" s="12"/>
      <c r="D64" s="184"/>
      <c r="E64" s="12"/>
      <c r="F64" s="185"/>
      <c r="G64" s="186"/>
      <c r="H64" s="185"/>
      <c r="I64" s="252"/>
    </row>
    <row r="65" spans="2:9">
      <c r="B65" s="13"/>
      <c r="C65" s="12"/>
      <c r="D65" s="184"/>
      <c r="E65" s="12"/>
      <c r="F65" s="185"/>
      <c r="G65" s="186"/>
      <c r="H65" s="185"/>
      <c r="I65" s="252"/>
    </row>
    <row r="66" spans="2:9">
      <c r="B66" s="13"/>
      <c r="C66" s="12"/>
      <c r="D66" s="184"/>
      <c r="E66" s="12"/>
      <c r="F66" s="185"/>
      <c r="G66" s="186"/>
      <c r="H66" s="185"/>
      <c r="I66" s="252"/>
    </row>
    <row r="67" spans="2:9">
      <c r="B67" s="13"/>
      <c r="C67" s="12"/>
      <c r="D67" s="184"/>
      <c r="E67" s="12"/>
      <c r="F67" s="185"/>
      <c r="G67" s="186"/>
      <c r="H67" s="185"/>
      <c r="I67" s="252"/>
    </row>
    <row r="68" spans="2:9">
      <c r="B68" s="13"/>
      <c r="C68" s="12"/>
      <c r="D68" s="184"/>
      <c r="E68" s="12"/>
      <c r="F68" s="185"/>
      <c r="G68" s="186"/>
      <c r="H68" s="185"/>
      <c r="I68" s="252"/>
    </row>
    <row r="69" spans="2:9">
      <c r="B69" s="13"/>
      <c r="C69" s="12"/>
      <c r="D69" s="292"/>
      <c r="E69" s="293"/>
      <c r="F69" s="219"/>
      <c r="G69" s="294"/>
      <c r="H69" s="219"/>
      <c r="I69" s="252"/>
    </row>
    <row r="70" spans="2:9">
      <c r="B70" s="13"/>
      <c r="C70" s="12"/>
      <c r="D70" s="292"/>
      <c r="E70" s="292"/>
      <c r="F70" s="292"/>
      <c r="G70" s="292"/>
      <c r="H70" s="292"/>
      <c r="I70" s="252"/>
    </row>
    <row r="71" spans="2:9">
      <c r="B71" s="13"/>
      <c r="C71" s="12"/>
      <c r="D71" s="292"/>
      <c r="E71" s="292"/>
      <c r="F71" s="292"/>
      <c r="G71" s="292"/>
      <c r="H71" s="292"/>
      <c r="I71" s="252"/>
    </row>
    <row r="72" spans="2:9">
      <c r="B72" s="13"/>
      <c r="C72" s="12"/>
      <c r="D72" s="191"/>
      <c r="E72" s="220"/>
      <c r="F72" s="292"/>
      <c r="G72" s="292"/>
      <c r="H72" s="292"/>
      <c r="I72" s="252"/>
    </row>
    <row r="73" spans="2:9">
      <c r="B73" s="13"/>
      <c r="C73" s="12"/>
      <c r="D73" s="293"/>
      <c r="E73" s="220"/>
      <c r="F73" s="292"/>
      <c r="G73" s="292"/>
      <c r="H73" s="292"/>
      <c r="I73" s="252"/>
    </row>
    <row r="74" spans="2:9">
      <c r="B74" s="13"/>
      <c r="C74" s="12"/>
      <c r="D74" s="292"/>
      <c r="E74" s="220"/>
      <c r="F74" s="292"/>
      <c r="G74" s="292"/>
      <c r="H74" s="292"/>
      <c r="I74" s="252"/>
    </row>
    <row r="75" spans="2:9" ht="14">
      <c r="B75" s="292"/>
      <c r="C75" s="293"/>
      <c r="D75" s="295"/>
      <c r="E75" s="295"/>
      <c r="F75" s="295"/>
      <c r="G75" s="295"/>
      <c r="H75" s="295"/>
      <c r="I75" s="252"/>
    </row>
    <row r="76" spans="2:9" ht="14">
      <c r="D76" s="295"/>
      <c r="E76" s="295"/>
      <c r="F76" s="295"/>
      <c r="G76" s="295"/>
      <c r="H76" s="295"/>
      <c r="I76" s="252"/>
    </row>
    <row r="77" spans="2:9" ht="14">
      <c r="D77" s="194"/>
      <c r="E77" s="221"/>
      <c r="F77" s="295"/>
      <c r="G77" s="295"/>
      <c r="H77" s="295"/>
      <c r="I77" s="252"/>
    </row>
    <row r="78" spans="2:9" ht="14">
      <c r="B78" s="191"/>
      <c r="C78" s="220"/>
      <c r="D78" s="296"/>
      <c r="E78" s="221"/>
      <c r="F78" s="295"/>
      <c r="G78" s="295"/>
      <c r="H78" s="295"/>
      <c r="I78" s="252"/>
    </row>
    <row r="79" spans="2:9" ht="14">
      <c r="B79" s="297"/>
      <c r="C79" s="220"/>
      <c r="D79" s="295"/>
      <c r="E79" s="221"/>
      <c r="F79" s="295"/>
      <c r="G79" s="295"/>
      <c r="H79" s="295"/>
      <c r="I79" s="252"/>
    </row>
    <row r="80" spans="2:9">
      <c r="C80" s="220"/>
      <c r="I80" s="252"/>
    </row>
    <row r="81" spans="9:9">
      <c r="I81" s="252"/>
    </row>
    <row r="82" spans="9:9">
      <c r="I82" s="252"/>
    </row>
    <row r="83" spans="9:9">
      <c r="I83" s="252"/>
    </row>
    <row r="84" spans="9:9">
      <c r="I84" s="252"/>
    </row>
    <row r="85" spans="9:9">
      <c r="I85" s="252"/>
    </row>
    <row r="86" spans="9:9">
      <c r="I86" s="252"/>
    </row>
    <row r="87" spans="9:9">
      <c r="I87" s="252"/>
    </row>
    <row r="88" spans="9:9">
      <c r="I88" s="252"/>
    </row>
    <row r="89" spans="9:9">
      <c r="I89" s="252"/>
    </row>
    <row r="90" spans="9:9">
      <c r="I90" s="252"/>
    </row>
    <row r="91" spans="9:9">
      <c r="I91" s="252"/>
    </row>
    <row r="92" spans="9:9">
      <c r="I92" s="252"/>
    </row>
    <row r="93" spans="9:9">
      <c r="I93" s="252"/>
    </row>
    <row r="94" spans="9:9">
      <c r="I94" s="252"/>
    </row>
    <row r="95" spans="9:9">
      <c r="I95" s="252"/>
    </row>
    <row r="96" spans="9:9">
      <c r="I96" s="252"/>
    </row>
    <row r="97" spans="9:9">
      <c r="I97" s="252"/>
    </row>
    <row r="98" spans="9:9">
      <c r="I98" s="252"/>
    </row>
    <row r="99" spans="9:9">
      <c r="I99" s="252"/>
    </row>
    <row r="100" spans="9:9">
      <c r="I100" s="252"/>
    </row>
    <row r="101" spans="9:9">
      <c r="I101" s="252"/>
    </row>
    <row r="102" spans="9:9">
      <c r="I102" s="252"/>
    </row>
    <row r="103" spans="9:9">
      <c r="I103" s="252"/>
    </row>
    <row r="104" spans="9:9">
      <c r="I104" s="252"/>
    </row>
    <row r="105" spans="9:9">
      <c r="I105" s="252"/>
    </row>
    <row r="106" spans="9:9">
      <c r="I106" s="252"/>
    </row>
    <row r="107" spans="9:9">
      <c r="I107" s="252"/>
    </row>
    <row r="108" spans="9:9">
      <c r="I108" s="252"/>
    </row>
    <row r="109" spans="9:9">
      <c r="I109" s="252"/>
    </row>
    <row r="110" spans="9:9">
      <c r="I110" s="252"/>
    </row>
    <row r="111" spans="9:9">
      <c r="I111" s="252"/>
    </row>
    <row r="112" spans="9:9">
      <c r="I112" s="252"/>
    </row>
    <row r="113" spans="9:9">
      <c r="I113" s="252"/>
    </row>
    <row r="114" spans="9:9">
      <c r="I114" s="252"/>
    </row>
    <row r="115" spans="9:9">
      <c r="I115" s="252"/>
    </row>
    <row r="116" spans="9:9">
      <c r="I116" s="252"/>
    </row>
    <row r="117" spans="9:9">
      <c r="I117" s="252"/>
    </row>
    <row r="118" spans="9:9">
      <c r="I118" s="252"/>
    </row>
    <row r="119" spans="9:9">
      <c r="I119" s="252"/>
    </row>
    <row r="120" spans="9:9">
      <c r="I120" s="252"/>
    </row>
    <row r="121" spans="9:9">
      <c r="I121" s="252"/>
    </row>
    <row r="122" spans="9:9">
      <c r="I122" s="252"/>
    </row>
    <row r="123" spans="9:9">
      <c r="I123" s="252"/>
    </row>
    <row r="124" spans="9:9">
      <c r="I124" s="252"/>
    </row>
    <row r="125" spans="9:9">
      <c r="I125" s="252"/>
    </row>
    <row r="126" spans="9:9">
      <c r="I126" s="252"/>
    </row>
    <row r="127" spans="9:9">
      <c r="I127" s="252"/>
    </row>
    <row r="128" spans="9:9">
      <c r="I128" s="252"/>
    </row>
    <row r="129" spans="9:9">
      <c r="I129" s="252"/>
    </row>
    <row r="130" spans="9:9">
      <c r="I130" s="252"/>
    </row>
    <row r="131" spans="9:9">
      <c r="I131" s="252"/>
    </row>
    <row r="132" spans="9:9">
      <c r="I132" s="252"/>
    </row>
    <row r="133" spans="9:9">
      <c r="I133" s="252"/>
    </row>
    <row r="134" spans="9:9">
      <c r="I134" s="252"/>
    </row>
    <row r="135" spans="9:9">
      <c r="I135" s="252"/>
    </row>
    <row r="136" spans="9:9">
      <c r="I136" s="252"/>
    </row>
    <row r="137" spans="9:9">
      <c r="I137" s="252"/>
    </row>
    <row r="138" spans="9:9">
      <c r="I138" s="252"/>
    </row>
    <row r="139" spans="9:9">
      <c r="I139" s="252"/>
    </row>
    <row r="140" spans="9:9">
      <c r="I140" s="252"/>
    </row>
    <row r="141" spans="9:9">
      <c r="I141" s="252"/>
    </row>
    <row r="142" spans="9:9">
      <c r="I142" s="252"/>
    </row>
    <row r="143" spans="9:9">
      <c r="I143" s="252"/>
    </row>
    <row r="144" spans="9:9">
      <c r="I144" s="252"/>
    </row>
    <row r="145" spans="9:9">
      <c r="I145" s="252"/>
    </row>
    <row r="146" spans="9:9">
      <c r="I146" s="252"/>
    </row>
    <row r="147" spans="9:9">
      <c r="I147" s="252"/>
    </row>
    <row r="148" spans="9:9">
      <c r="I148" s="252"/>
    </row>
    <row r="149" spans="9:9">
      <c r="I149" s="252"/>
    </row>
    <row r="150" spans="9:9">
      <c r="I150" s="252"/>
    </row>
    <row r="151" spans="9:9">
      <c r="I151" s="252"/>
    </row>
    <row r="152" spans="9:9">
      <c r="I152" s="252"/>
    </row>
    <row r="153" spans="9:9">
      <c r="I153" s="252"/>
    </row>
    <row r="154" spans="9:9">
      <c r="I154" s="252"/>
    </row>
    <row r="155" spans="9:9">
      <c r="I155" s="252"/>
    </row>
    <row r="156" spans="9:9">
      <c r="I156" s="252"/>
    </row>
    <row r="157" spans="9:9">
      <c r="I157" s="252"/>
    </row>
    <row r="158" spans="9:9">
      <c r="I158" s="252"/>
    </row>
    <row r="159" spans="9:9">
      <c r="I159" s="252"/>
    </row>
    <row r="160" spans="9:9">
      <c r="I160" s="252"/>
    </row>
    <row r="161" spans="9:9">
      <c r="I161" s="252"/>
    </row>
    <row r="162" spans="9:9">
      <c r="I162" s="252"/>
    </row>
    <row r="163" spans="9:9">
      <c r="I163" s="252"/>
    </row>
    <row r="164" spans="9:9">
      <c r="I164" s="252"/>
    </row>
    <row r="165" spans="9:9">
      <c r="I165" s="252"/>
    </row>
    <row r="166" spans="9:9">
      <c r="I166" s="252"/>
    </row>
    <row r="167" spans="9:9">
      <c r="I167" s="252"/>
    </row>
    <row r="168" spans="9:9">
      <c r="I168" s="252"/>
    </row>
    <row r="169" spans="9:9">
      <c r="I169" s="252"/>
    </row>
    <row r="170" spans="9:9">
      <c r="I170" s="252"/>
    </row>
    <row r="171" spans="9:9">
      <c r="I171" s="252"/>
    </row>
    <row r="172" spans="9:9">
      <c r="I172" s="252"/>
    </row>
    <row r="173" spans="9:9">
      <c r="I173" s="252"/>
    </row>
    <row r="174" spans="9:9">
      <c r="I174" s="252"/>
    </row>
    <row r="175" spans="9:9">
      <c r="I175" s="252"/>
    </row>
    <row r="176" spans="9:9">
      <c r="I176" s="252"/>
    </row>
    <row r="177" spans="9:9">
      <c r="I177" s="252"/>
    </row>
    <row r="178" spans="9:9">
      <c r="I178" s="252"/>
    </row>
    <row r="179" spans="9:9">
      <c r="I179" s="252"/>
    </row>
    <row r="180" spans="9:9">
      <c r="I180" s="252"/>
    </row>
    <row r="181" spans="9:9">
      <c r="I181" s="252"/>
    </row>
    <row r="182" spans="9:9">
      <c r="I182" s="252"/>
    </row>
    <row r="183" spans="9:9">
      <c r="I183" s="252"/>
    </row>
    <row r="184" spans="9:9">
      <c r="I184" s="252"/>
    </row>
    <row r="185" spans="9:9">
      <c r="I185" s="252"/>
    </row>
    <row r="186" spans="9:9">
      <c r="I186" s="252"/>
    </row>
    <row r="187" spans="9:9">
      <c r="I187" s="252"/>
    </row>
    <row r="188" spans="9:9">
      <c r="I188" s="252"/>
    </row>
    <row r="189" spans="9:9">
      <c r="I189" s="252"/>
    </row>
    <row r="190" spans="9:9">
      <c r="I190" s="252"/>
    </row>
    <row r="191" spans="9:9">
      <c r="I191" s="252"/>
    </row>
    <row r="192" spans="9:9">
      <c r="I192" s="252"/>
    </row>
    <row r="193" spans="9:9">
      <c r="I193" s="252"/>
    </row>
    <row r="194" spans="9:9">
      <c r="I194" s="252"/>
    </row>
    <row r="195" spans="9:9">
      <c r="I195" s="252"/>
    </row>
    <row r="196" spans="9:9">
      <c r="I196" s="252"/>
    </row>
    <row r="197" spans="9:9">
      <c r="I197" s="252"/>
    </row>
    <row r="198" spans="9:9">
      <c r="I198" s="252"/>
    </row>
    <row r="199" spans="9:9">
      <c r="I199" s="252"/>
    </row>
    <row r="200" spans="9:9">
      <c r="I200" s="252"/>
    </row>
    <row r="201" spans="9:9">
      <c r="I201" s="252"/>
    </row>
    <row r="202" spans="9:9">
      <c r="I202" s="252"/>
    </row>
    <row r="203" spans="9:9">
      <c r="I203" s="252"/>
    </row>
    <row r="204" spans="9:9">
      <c r="I204" s="252"/>
    </row>
    <row r="205" spans="9:9">
      <c r="I205" s="252"/>
    </row>
    <row r="206" spans="9:9">
      <c r="I206" s="252"/>
    </row>
    <row r="207" spans="9:9">
      <c r="I207" s="252"/>
    </row>
    <row r="208" spans="9:9">
      <c r="I208" s="252"/>
    </row>
    <row r="209" spans="9:9">
      <c r="I209" s="252"/>
    </row>
    <row r="210" spans="9:9">
      <c r="I210" s="252"/>
    </row>
    <row r="211" spans="9:9">
      <c r="I211" s="252"/>
    </row>
    <row r="212" spans="9:9">
      <c r="I212" s="252"/>
    </row>
    <row r="213" spans="9:9">
      <c r="I213" s="252"/>
    </row>
    <row r="214" spans="9:9">
      <c r="I214" s="252"/>
    </row>
    <row r="215" spans="9:9">
      <c r="I215" s="252"/>
    </row>
    <row r="216" spans="9:9">
      <c r="I216" s="252"/>
    </row>
    <row r="217" spans="9:9">
      <c r="I217" s="252"/>
    </row>
    <row r="218" spans="9:9">
      <c r="I218" s="252"/>
    </row>
    <row r="219" spans="9:9">
      <c r="I219" s="252"/>
    </row>
    <row r="220" spans="9:9">
      <c r="I220" s="252"/>
    </row>
    <row r="221" spans="9:9">
      <c r="I221" s="252"/>
    </row>
    <row r="222" spans="9:9">
      <c r="I222" s="252"/>
    </row>
    <row r="223" spans="9:9">
      <c r="I223" s="252"/>
    </row>
    <row r="224" spans="9:9">
      <c r="I224" s="252"/>
    </row>
    <row r="225" spans="9:9">
      <c r="I225" s="252"/>
    </row>
    <row r="226" spans="9:9">
      <c r="I226" s="252"/>
    </row>
    <row r="227" spans="9:9">
      <c r="I227" s="252"/>
    </row>
    <row r="228" spans="9:9">
      <c r="I228" s="252"/>
    </row>
    <row r="229" spans="9:9">
      <c r="I229" s="252"/>
    </row>
    <row r="230" spans="9:9">
      <c r="I230" s="252"/>
    </row>
    <row r="231" spans="9:9">
      <c r="I231" s="252"/>
    </row>
    <row r="232" spans="9:9">
      <c r="I232" s="252"/>
    </row>
    <row r="233" spans="9:9">
      <c r="I233" s="252"/>
    </row>
    <row r="234" spans="9:9">
      <c r="I234" s="252"/>
    </row>
    <row r="235" spans="9:9">
      <c r="I235" s="252"/>
    </row>
    <row r="236" spans="9:9">
      <c r="I236" s="252"/>
    </row>
    <row r="237" spans="9:9">
      <c r="I237" s="252"/>
    </row>
    <row r="238" spans="9:9">
      <c r="I238" s="252"/>
    </row>
    <row r="239" spans="9:9">
      <c r="I239" s="252"/>
    </row>
    <row r="240" spans="9:9">
      <c r="I240" s="252"/>
    </row>
    <row r="241" spans="9:9">
      <c r="I241" s="252"/>
    </row>
    <row r="242" spans="9:9">
      <c r="I242" s="252"/>
    </row>
    <row r="243" spans="9:9">
      <c r="I243" s="252"/>
    </row>
    <row r="244" spans="9:9">
      <c r="I244" s="252"/>
    </row>
    <row r="245" spans="9:9">
      <c r="I245" s="252"/>
    </row>
    <row r="246" spans="9:9">
      <c r="I246" s="252"/>
    </row>
    <row r="247" spans="9:9">
      <c r="I247" s="252"/>
    </row>
    <row r="248" spans="9:9">
      <c r="I248" s="252"/>
    </row>
    <row r="249" spans="9:9">
      <c r="I249" s="252"/>
    </row>
    <row r="250" spans="9:9">
      <c r="I250" s="252"/>
    </row>
    <row r="251" spans="9:9">
      <c r="I251" s="252"/>
    </row>
    <row r="252" spans="9:9">
      <c r="I252" s="252"/>
    </row>
    <row r="253" spans="9:9">
      <c r="I253" s="252"/>
    </row>
    <row r="254" spans="9:9">
      <c r="I254" s="252"/>
    </row>
    <row r="255" spans="9:9">
      <c r="I255" s="252"/>
    </row>
    <row r="256" spans="9:9">
      <c r="I256" s="252"/>
    </row>
    <row r="257" spans="9:9">
      <c r="I257" s="252"/>
    </row>
    <row r="258" spans="9:9">
      <c r="I258" s="252"/>
    </row>
    <row r="259" spans="9:9">
      <c r="I259" s="252"/>
    </row>
    <row r="260" spans="9:9">
      <c r="I260" s="252"/>
    </row>
    <row r="261" spans="9:9">
      <c r="I261" s="252"/>
    </row>
    <row r="262" spans="9:9">
      <c r="I262" s="252"/>
    </row>
    <row r="263" spans="9:9">
      <c r="I263" s="252"/>
    </row>
    <row r="264" spans="9:9">
      <c r="I264" s="252"/>
    </row>
    <row r="265" spans="9:9">
      <c r="I265" s="252"/>
    </row>
    <row r="266" spans="9:9">
      <c r="I266" s="252"/>
    </row>
    <row r="267" spans="9:9">
      <c r="I267" s="252"/>
    </row>
    <row r="268" spans="9:9">
      <c r="I268" s="252"/>
    </row>
    <row r="269" spans="9:9">
      <c r="I269" s="252"/>
    </row>
    <row r="270" spans="9:9">
      <c r="I270" s="252"/>
    </row>
    <row r="271" spans="9:9">
      <c r="I271" s="252"/>
    </row>
    <row r="272" spans="9:9">
      <c r="I272" s="252"/>
    </row>
    <row r="273" spans="9:9">
      <c r="I273" s="252"/>
    </row>
    <row r="274" spans="9:9">
      <c r="I274" s="252"/>
    </row>
    <row r="275" spans="9:9">
      <c r="I275" s="252"/>
    </row>
    <row r="276" spans="9:9">
      <c r="I276" s="252"/>
    </row>
    <row r="277" spans="9:9">
      <c r="I277" s="252"/>
    </row>
    <row r="278" spans="9:9">
      <c r="I278" s="252"/>
    </row>
    <row r="279" spans="9:9">
      <c r="I279" s="252"/>
    </row>
    <row r="280" spans="9:9">
      <c r="I280" s="252"/>
    </row>
    <row r="281" spans="9:9">
      <c r="I281" s="252"/>
    </row>
    <row r="282" spans="9:9">
      <c r="I282" s="252"/>
    </row>
    <row r="283" spans="9:9">
      <c r="I283" s="252"/>
    </row>
    <row r="284" spans="9:9">
      <c r="I284" s="252"/>
    </row>
    <row r="285" spans="9:9">
      <c r="I285" s="252"/>
    </row>
    <row r="286" spans="9:9">
      <c r="I286" s="252"/>
    </row>
    <row r="287" spans="9:9">
      <c r="I287" s="252"/>
    </row>
    <row r="288" spans="9:9">
      <c r="I288" s="252"/>
    </row>
    <row r="289" spans="9:9">
      <c r="I289" s="252"/>
    </row>
    <row r="290" spans="9:9">
      <c r="I290" s="252"/>
    </row>
    <row r="291" spans="9:9">
      <c r="I291" s="252"/>
    </row>
    <row r="292" spans="9:9">
      <c r="I292" s="252"/>
    </row>
    <row r="293" spans="9:9">
      <c r="I293" s="252"/>
    </row>
    <row r="294" spans="9:9">
      <c r="I294" s="252"/>
    </row>
    <row r="295" spans="9:9">
      <c r="I295" s="252"/>
    </row>
    <row r="296" spans="9:9">
      <c r="I296" s="252"/>
    </row>
    <row r="297" spans="9:9">
      <c r="I297" s="252"/>
    </row>
    <row r="298" spans="9:9">
      <c r="I298" s="252"/>
    </row>
    <row r="305" s="22" customFormat="1"/>
    <row r="306" s="22" customFormat="1"/>
    <row r="307" s="22" customFormat="1"/>
    <row r="308" s="22" customFormat="1"/>
    <row r="309" s="22" customFormat="1"/>
    <row r="310" s="22" customFormat="1"/>
    <row r="311" s="22" customFormat="1"/>
    <row r="312" s="22" customFormat="1"/>
    <row r="313" s="22" customFormat="1"/>
    <row r="314" s="22" customFormat="1"/>
    <row r="315" s="22" customFormat="1"/>
    <row r="316" s="22" customFormat="1"/>
    <row r="317" s="22" customFormat="1"/>
    <row r="318" s="22" customFormat="1"/>
    <row r="319" s="22" customFormat="1"/>
    <row r="320"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Q224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22" customWidth="1"/>
    <col min="2" max="2" width="45.54296875" style="22" bestFit="1" customWidth="1"/>
    <col min="3" max="3" width="22.54296875" style="22" customWidth="1"/>
    <col min="4" max="4" width="15" style="22" customWidth="1"/>
    <col min="5" max="6" width="10.81640625" style="22" customWidth="1"/>
    <col min="7" max="7" width="16.36328125" style="22" customWidth="1"/>
    <col min="8" max="9" width="10.81640625" style="22" customWidth="1"/>
    <col min="10" max="10" width="16.1796875" style="22" customWidth="1"/>
    <col min="11" max="15" width="10.81640625" style="22" customWidth="1"/>
    <col min="16" max="16" width="9.81640625" style="22" customWidth="1"/>
    <col min="17" max="16384" width="9.1796875" style="22"/>
  </cols>
  <sheetData>
    <row r="1" spans="1:17" ht="6" customHeight="1">
      <c r="A1" s="222"/>
      <c r="B1" s="223"/>
      <c r="C1" s="223"/>
      <c r="D1" s="223"/>
      <c r="E1" s="223"/>
      <c r="F1" s="223"/>
      <c r="G1" s="223"/>
      <c r="H1" s="223"/>
      <c r="I1" s="223"/>
      <c r="J1" s="223"/>
      <c r="K1" s="223"/>
      <c r="L1" s="223"/>
      <c r="M1" s="223"/>
      <c r="N1" s="223"/>
      <c r="O1" s="223"/>
      <c r="P1" s="223"/>
      <c r="Q1" s="224"/>
    </row>
    <row r="2" spans="1:17" ht="18">
      <c r="A2" s="225"/>
      <c r="B2" s="226" t="str">
        <f>'Cover Sheet'!B2</f>
        <v>SC Germany Consumer 2024-1</v>
      </c>
      <c r="C2" s="226"/>
      <c r="D2" s="227" t="str">
        <f>'Cover Sheet'!D2</f>
        <v>Calculation Date</v>
      </c>
      <c r="E2" s="228"/>
      <c r="F2" s="229">
        <f>'Cover Sheet'!F2</f>
        <v>45911</v>
      </c>
      <c r="G2" s="228"/>
      <c r="H2" s="228"/>
      <c r="I2" s="228"/>
      <c r="J2" s="228"/>
      <c r="K2" s="228"/>
      <c r="L2" s="228"/>
      <c r="M2" s="230"/>
      <c r="N2" s="231"/>
      <c r="O2" s="231"/>
      <c r="Q2" s="94"/>
    </row>
    <row r="3" spans="1:17" ht="18">
      <c r="A3" s="225"/>
      <c r="B3" s="226" t="str">
        <f>'Cover Sheet'!B3</f>
        <v>Monthly Investor Report</v>
      </c>
      <c r="C3" s="226"/>
      <c r="D3" s="232" t="str">
        <f>'Cover Sheet'!D3</f>
        <v>Payment Date</v>
      </c>
      <c r="E3" s="233"/>
      <c r="F3" s="234">
        <f>'Cover Sheet'!F3</f>
        <v>45915</v>
      </c>
      <c r="G3" s="233"/>
      <c r="H3" s="233"/>
      <c r="I3" s="233"/>
      <c r="J3" s="233"/>
      <c r="K3" s="233"/>
      <c r="L3" s="233"/>
      <c r="M3" s="235"/>
      <c r="N3" s="78"/>
      <c r="O3" s="78"/>
      <c r="Q3" s="94"/>
    </row>
    <row r="4" spans="1:17" ht="13">
      <c r="A4" s="225"/>
      <c r="B4" s="236"/>
      <c r="C4" s="236"/>
      <c r="D4" s="232" t="str">
        <f>'Cover Sheet'!D4</f>
        <v>Period  No</v>
      </c>
      <c r="E4" s="233"/>
      <c r="F4" s="237">
        <f>'Cover Sheet'!F4</f>
        <v>16</v>
      </c>
      <c r="G4" s="233"/>
      <c r="H4" s="238"/>
      <c r="I4" s="233"/>
      <c r="J4" s="233"/>
      <c r="K4" s="233"/>
      <c r="L4" s="233"/>
      <c r="M4" s="239"/>
      <c r="N4" s="231"/>
      <c r="O4" s="231"/>
      <c r="Q4" s="94"/>
    </row>
    <row r="5" spans="1:17" ht="18">
      <c r="A5" s="225"/>
      <c r="B5" s="240" t="s">
        <v>357</v>
      </c>
      <c r="C5" s="240"/>
      <c r="D5" s="232" t="str">
        <f>'Cover Sheet'!D5</f>
        <v>Monthly Period</v>
      </c>
      <c r="E5" s="233"/>
      <c r="F5" s="130">
        <f>'Cover Sheet'!F5</f>
        <v>45915</v>
      </c>
      <c r="G5" s="233"/>
      <c r="H5" s="238"/>
      <c r="I5" s="233"/>
      <c r="J5" s="233"/>
      <c r="K5" s="233"/>
      <c r="L5" s="233"/>
      <c r="M5" s="239"/>
      <c r="N5" s="78"/>
      <c r="O5" s="78"/>
      <c r="Q5" s="94"/>
    </row>
    <row r="6" spans="1:17" ht="15" customHeight="1">
      <c r="A6" s="225"/>
      <c r="B6" s="241"/>
      <c r="C6" s="241"/>
      <c r="D6" s="242" t="str">
        <f>'Cover Sheet'!D6</f>
        <v>Interest Period</v>
      </c>
      <c r="E6" s="234" t="s">
        <v>34</v>
      </c>
      <c r="F6" s="234">
        <f>'Cover Sheet'!F6</f>
        <v>45883</v>
      </c>
      <c r="G6" s="234" t="s">
        <v>4</v>
      </c>
      <c r="H6" s="234">
        <f>'Cover Sheet'!H6</f>
        <v>45915</v>
      </c>
      <c r="I6" s="243" t="s">
        <v>15</v>
      </c>
      <c r="J6" s="243"/>
      <c r="K6" s="243"/>
      <c r="L6" s="243"/>
      <c r="M6" s="244" t="str">
        <f>'Cover Sheet'!J6</f>
        <v>32 days</v>
      </c>
      <c r="N6" s="78"/>
      <c r="O6" s="78"/>
      <c r="Q6" s="245"/>
    </row>
    <row r="7" spans="1:17" ht="13">
      <c r="A7" s="225"/>
      <c r="D7" s="246" t="str">
        <f>'Cover Sheet'!D7</f>
        <v>Collection Period</v>
      </c>
      <c r="E7" s="247" t="s">
        <v>34</v>
      </c>
      <c r="F7" s="247" t="str">
        <f>'Cover Sheet'!F7</f>
        <v>01.08.2025</v>
      </c>
      <c r="G7" s="247" t="s">
        <v>4</v>
      </c>
      <c r="H7" s="247">
        <f>'Cover Sheet'!H7</f>
        <v>45900</v>
      </c>
      <c r="I7" s="248"/>
      <c r="J7" s="248"/>
      <c r="K7" s="248"/>
      <c r="L7" s="248"/>
      <c r="M7" s="249"/>
      <c r="N7" s="78"/>
      <c r="O7" s="78"/>
      <c r="Q7" s="94"/>
    </row>
    <row r="8" spans="1:17" ht="13">
      <c r="A8" s="225"/>
      <c r="F8" s="231"/>
      <c r="G8" s="5"/>
      <c r="H8" s="231"/>
      <c r="M8" s="250"/>
      <c r="O8" s="78"/>
      <c r="Q8" s="94"/>
    </row>
    <row r="9" spans="1:17" ht="13">
      <c r="A9" s="225"/>
      <c r="Q9" s="251"/>
    </row>
    <row r="10" spans="1:17">
      <c r="A10" s="225"/>
      <c r="G10" s="252"/>
      <c r="Q10" s="94"/>
    </row>
    <row r="11" spans="1:17" ht="17.5">
      <c r="A11" s="225"/>
      <c r="B11" s="253"/>
      <c r="C11" s="253"/>
      <c r="H11" s="254"/>
      <c r="I11" s="254"/>
      <c r="J11" s="254"/>
      <c r="K11" s="254"/>
      <c r="L11" s="254"/>
      <c r="Q11" s="255"/>
    </row>
    <row r="12" spans="1:17">
      <c r="A12" s="225"/>
      <c r="H12" s="254"/>
      <c r="I12" s="254"/>
      <c r="J12" s="254"/>
      <c r="K12" s="254"/>
      <c r="L12" s="254"/>
      <c r="Q12" s="255"/>
    </row>
    <row r="13" spans="1:17" ht="18">
      <c r="A13" s="225"/>
      <c r="B13" s="226" t="s">
        <v>255</v>
      </c>
      <c r="C13" s="226"/>
      <c r="E13" s="256"/>
      <c r="F13" s="256"/>
      <c r="G13" s="257"/>
      <c r="H13" s="258"/>
      <c r="I13" s="258"/>
      <c r="J13" s="258"/>
      <c r="K13" s="258"/>
      <c r="L13" s="258"/>
      <c r="M13" s="252"/>
      <c r="Q13" s="255"/>
    </row>
    <row r="14" spans="1:17" ht="12.75" customHeight="1">
      <c r="A14" s="225"/>
      <c r="B14" s="22" t="s">
        <v>256</v>
      </c>
      <c r="C14" s="259" t="s">
        <v>528</v>
      </c>
      <c r="E14" s="260"/>
      <c r="F14" s="261"/>
      <c r="G14" s="262"/>
      <c r="H14" s="262"/>
      <c r="I14" s="263"/>
      <c r="J14" s="263"/>
      <c r="K14" s="263"/>
      <c r="L14" s="263"/>
      <c r="M14" s="258"/>
      <c r="Q14" s="255"/>
    </row>
    <row r="15" spans="1:17">
      <c r="A15" s="225"/>
      <c r="B15" s="40" t="s">
        <v>257</v>
      </c>
      <c r="C15" s="824" t="s">
        <v>43</v>
      </c>
      <c r="F15" s="264"/>
      <c r="G15" s="265"/>
      <c r="H15" s="266"/>
      <c r="I15" s="265"/>
      <c r="J15" s="265"/>
      <c r="K15" s="265"/>
      <c r="L15" s="265"/>
      <c r="M15" s="265"/>
      <c r="Q15" s="255"/>
    </row>
    <row r="16" spans="1:17" ht="13" thickBot="1">
      <c r="A16" s="225"/>
      <c r="B16" s="13"/>
      <c r="C16" s="74"/>
      <c r="D16" s="28"/>
      <c r="E16" s="28"/>
      <c r="F16" s="28"/>
      <c r="G16" s="28"/>
      <c r="H16" s="28"/>
      <c r="I16" s="28"/>
      <c r="J16" s="30"/>
      <c r="K16" s="30"/>
      <c r="L16" s="30"/>
      <c r="M16" s="265"/>
      <c r="Q16" s="255"/>
    </row>
    <row r="17" spans="1:17" ht="13" thickBot="1">
      <c r="A17" s="225"/>
      <c r="D17" s="918" t="s">
        <v>237</v>
      </c>
      <c r="E17" s="919"/>
      <c r="F17" s="920"/>
      <c r="G17" s="918" t="s">
        <v>527</v>
      </c>
      <c r="H17" s="919"/>
      <c r="I17" s="920"/>
      <c r="N17" s="252"/>
      <c r="Q17" s="94"/>
    </row>
    <row r="18" spans="1:17" ht="81" customHeight="1">
      <c r="A18" s="225"/>
      <c r="B18" s="267" t="s">
        <v>259</v>
      </c>
      <c r="C18" s="268" t="s">
        <v>260</v>
      </c>
      <c r="D18" s="75" t="s">
        <v>261</v>
      </c>
      <c r="E18" s="75" t="s">
        <v>108</v>
      </c>
      <c r="F18" s="75" t="s">
        <v>109</v>
      </c>
      <c r="G18" s="799" t="s">
        <v>708</v>
      </c>
      <c r="H18" s="75" t="s">
        <v>109</v>
      </c>
      <c r="I18" s="269" t="s">
        <v>262</v>
      </c>
      <c r="M18" s="252"/>
      <c r="Q18" s="94"/>
    </row>
    <row r="19" spans="1:17" ht="8.25" customHeight="1">
      <c r="A19" s="225"/>
      <c r="B19" s="270"/>
      <c r="C19" s="33"/>
      <c r="D19" s="271"/>
      <c r="E19" s="272"/>
      <c r="F19" s="273"/>
      <c r="G19" s="271"/>
      <c r="H19" s="272"/>
      <c r="I19" s="274"/>
      <c r="M19" s="252"/>
      <c r="Q19" s="94"/>
    </row>
    <row r="20" spans="1:17" ht="25">
      <c r="A20" s="225"/>
      <c r="B20" s="270" t="s">
        <v>263</v>
      </c>
      <c r="C20" s="275" t="s">
        <v>375</v>
      </c>
      <c r="D20" s="89" t="s">
        <v>805</v>
      </c>
      <c r="E20" s="89"/>
      <c r="F20" s="89"/>
      <c r="G20" s="89" t="s">
        <v>807</v>
      </c>
      <c r="H20" s="89"/>
      <c r="I20" s="276" t="s">
        <v>43</v>
      </c>
      <c r="J20" s="270"/>
      <c r="M20" s="252"/>
      <c r="Q20" s="94"/>
    </row>
    <row r="21" spans="1:17" ht="7.5" customHeight="1">
      <c r="A21" s="225"/>
      <c r="B21" s="270"/>
      <c r="C21" s="33"/>
      <c r="D21" s="277"/>
      <c r="E21" s="5"/>
      <c r="F21" s="93"/>
      <c r="G21" s="277"/>
      <c r="H21" s="5"/>
      <c r="I21" s="5"/>
      <c r="J21" s="270"/>
      <c r="M21" s="252"/>
      <c r="Q21" s="94"/>
    </row>
    <row r="22" spans="1:17" ht="25.5" customHeight="1">
      <c r="A22" s="225"/>
      <c r="B22" s="270" t="s">
        <v>264</v>
      </c>
      <c r="C22" s="275" t="s">
        <v>408</v>
      </c>
      <c r="D22" s="89" t="s">
        <v>806</v>
      </c>
      <c r="E22" s="89"/>
      <c r="F22" s="89"/>
      <c r="G22" s="89" t="s">
        <v>808</v>
      </c>
      <c r="H22" s="89"/>
      <c r="I22" s="276" t="s">
        <v>43</v>
      </c>
      <c r="J22" s="270"/>
      <c r="M22" s="252"/>
      <c r="Q22" s="94"/>
    </row>
    <row r="23" spans="1:17" ht="9" customHeight="1">
      <c r="A23" s="225"/>
      <c r="B23" s="76"/>
      <c r="C23" s="88"/>
      <c r="D23" s="278"/>
      <c r="E23" s="5"/>
      <c r="F23" s="93"/>
      <c r="G23" s="278"/>
      <c r="H23" s="5"/>
      <c r="I23" s="274"/>
      <c r="M23" s="252"/>
      <c r="Q23" s="94"/>
    </row>
    <row r="24" spans="1:17" ht="13">
      <c r="A24" s="225"/>
      <c r="B24" s="279" t="s">
        <v>265</v>
      </c>
      <c r="C24" s="280"/>
      <c r="D24" s="89" t="str">
        <f>VLOOKUP($C$14,ratings,2,FALSE)</f>
        <v>Aa2(cr)</v>
      </c>
      <c r="E24" s="89" t="str">
        <f>VLOOKUP($C$14,ratings,5,FALSE)</f>
        <v>P-1</v>
      </c>
      <c r="F24" s="89" t="str">
        <f>VLOOKUP($C$14,ratings,6,FALSE)</f>
        <v>STABLE</v>
      </c>
      <c r="G24" s="89" t="str">
        <f>VLOOKUP($C$14,ratings,13,FALSE)</f>
        <v>AAL</v>
      </c>
      <c r="H24" s="89" t="str">
        <f>VLOOKUP($C$14,ratings,15,FALSE)</f>
        <v>R-1M</v>
      </c>
      <c r="I24" s="281"/>
      <c r="M24" s="252"/>
      <c r="Q24" s="94"/>
    </row>
    <row r="25" spans="1:17" ht="13.5" thickBot="1">
      <c r="A25" s="225"/>
      <c r="B25" s="282"/>
      <c r="C25" s="283"/>
      <c r="D25" s="77"/>
      <c r="E25" s="77"/>
      <c r="F25" s="77"/>
      <c r="G25" s="77"/>
      <c r="H25" s="77"/>
      <c r="I25" s="284"/>
      <c r="M25" s="252"/>
      <c r="Q25" s="94"/>
    </row>
    <row r="26" spans="1:17" ht="13">
      <c r="A26" s="225"/>
      <c r="D26" s="78"/>
      <c r="E26" s="78"/>
      <c r="F26" s="78"/>
      <c r="G26" s="78"/>
      <c r="H26" s="78"/>
      <c r="I26" s="78"/>
      <c r="J26" s="78"/>
      <c r="K26" s="78"/>
      <c r="L26" s="78"/>
      <c r="M26" s="78"/>
      <c r="N26" s="78"/>
      <c r="O26" s="78"/>
      <c r="Q26" s="255"/>
    </row>
    <row r="27" spans="1:17" ht="18">
      <c r="A27" s="225"/>
      <c r="B27" s="226" t="s">
        <v>266</v>
      </c>
      <c r="C27" s="226"/>
      <c r="D27" s="73"/>
      <c r="E27" s="226" t="s">
        <v>267</v>
      </c>
      <c r="G27" s="265"/>
      <c r="H27" s="266"/>
      <c r="I27" s="226" t="s">
        <v>268</v>
      </c>
      <c r="J27" s="226"/>
      <c r="K27" s="226"/>
      <c r="L27" s="226"/>
      <c r="M27" s="74"/>
      <c r="Q27" s="255"/>
    </row>
    <row r="28" spans="1:17">
      <c r="A28" s="225"/>
      <c r="B28" s="22" t="s">
        <v>269</v>
      </c>
      <c r="C28" s="79" t="s">
        <v>270</v>
      </c>
      <c r="E28" s="259" t="s">
        <v>528</v>
      </c>
      <c r="G28" s="265"/>
      <c r="H28" s="266"/>
      <c r="I28" s="79" t="s">
        <v>271</v>
      </c>
      <c r="J28" s="79"/>
      <c r="K28" s="79"/>
      <c r="L28" s="79"/>
      <c r="O28" s="80" t="str">
        <f>C14</f>
        <v>DZ Bank AG</v>
      </c>
      <c r="Q28" s="255"/>
    </row>
    <row r="29" spans="1:17" ht="13">
      <c r="A29" s="225"/>
      <c r="B29" s="40" t="s">
        <v>272</v>
      </c>
      <c r="C29" s="285">
        <f>VLOOKUP("Swap_Notional_amount",calcdata,2,0)</f>
        <v>1157272243.8</v>
      </c>
      <c r="E29" s="79" t="s">
        <v>697</v>
      </c>
      <c r="G29" s="286"/>
      <c r="H29" s="287"/>
      <c r="I29" s="79" t="s">
        <v>273</v>
      </c>
      <c r="J29" s="79"/>
      <c r="K29" s="79"/>
      <c r="L29" s="79"/>
      <c r="O29" s="80" t="str">
        <f>C14</f>
        <v>DZ Bank AG</v>
      </c>
      <c r="Q29" s="255"/>
    </row>
    <row r="30" spans="1:17">
      <c r="A30" s="225"/>
      <c r="B30" s="40" t="s">
        <v>274</v>
      </c>
      <c r="C30" s="885">
        <f>ROUND(VLOOKUP("Fixed_Rate",calcdata,2,0),7)</f>
        <v>2.6419999999999999E-2</v>
      </c>
      <c r="E30" s="79" t="s">
        <v>698</v>
      </c>
      <c r="Q30" s="255"/>
    </row>
    <row r="31" spans="1:17">
      <c r="A31" s="225"/>
      <c r="B31" s="40" t="s">
        <v>275</v>
      </c>
      <c r="C31" s="885">
        <f>VLOOKUP("Floating_Rate",calcdata,2,0)</f>
        <v>1.866E-2</v>
      </c>
      <c r="E31" s="79" t="s">
        <v>699</v>
      </c>
      <c r="Q31" s="255"/>
    </row>
    <row r="32" spans="1:17">
      <c r="A32" s="225"/>
      <c r="B32" s="40" t="s">
        <v>276</v>
      </c>
      <c r="C32" s="285">
        <f>VLOOKUP("Net_Swap_Payments",calcdata,2,0)</f>
        <v>798260.67</v>
      </c>
      <c r="E32" s="79" t="s">
        <v>193</v>
      </c>
      <c r="Q32" s="255"/>
    </row>
    <row r="33" spans="1:17">
      <c r="A33" s="225"/>
      <c r="B33" s="40" t="s">
        <v>277</v>
      </c>
      <c r="C33" s="856">
        <f>VLOOKUP("Swap_Notional_amount_next",calcdata,2,0)</f>
        <v>1119743762.7</v>
      </c>
      <c r="E33" s="79" t="s">
        <v>730</v>
      </c>
      <c r="Q33" s="255"/>
    </row>
    <row r="34" spans="1:17">
      <c r="A34" s="225"/>
      <c r="B34" s="13"/>
      <c r="Q34" s="255"/>
    </row>
    <row r="35" spans="1:17" ht="18">
      <c r="A35" s="225"/>
      <c r="B35" s="226" t="s">
        <v>278</v>
      </c>
      <c r="C35" s="288"/>
      <c r="Q35" s="255"/>
    </row>
    <row r="36" spans="1:17">
      <c r="A36" s="225"/>
      <c r="B36" s="22" t="s">
        <v>279</v>
      </c>
      <c r="C36" s="285">
        <v>0</v>
      </c>
      <c r="F36" s="62"/>
      <c r="G36" s="62"/>
      <c r="H36" s="62"/>
      <c r="I36" s="62"/>
      <c r="J36" s="62"/>
      <c r="K36" s="62"/>
      <c r="L36" s="62"/>
      <c r="M36" s="62"/>
      <c r="N36" s="62"/>
      <c r="O36" s="62"/>
      <c r="Q36" s="255"/>
    </row>
    <row r="37" spans="1:17">
      <c r="A37" s="225"/>
      <c r="B37" s="22" t="s">
        <v>80</v>
      </c>
      <c r="C37" s="285">
        <v>0</v>
      </c>
      <c r="Q37" s="255"/>
    </row>
    <row r="38" spans="1:17">
      <c r="A38" s="225"/>
      <c r="B38" s="22" t="s">
        <v>81</v>
      </c>
      <c r="C38" s="285">
        <v>0</v>
      </c>
      <c r="D38" s="12"/>
      <c r="E38" s="184"/>
      <c r="F38" s="12"/>
      <c r="G38" s="185"/>
      <c r="H38" s="186"/>
      <c r="I38" s="185"/>
      <c r="J38" s="185"/>
      <c r="K38" s="185"/>
      <c r="L38" s="185"/>
      <c r="M38" s="252"/>
      <c r="Q38" s="94"/>
    </row>
    <row r="39" spans="1:17">
      <c r="A39" s="225"/>
      <c r="B39" s="22" t="s">
        <v>14</v>
      </c>
      <c r="C39" s="285">
        <v>0</v>
      </c>
      <c r="D39" s="5"/>
      <c r="E39" s="5"/>
      <c r="F39" s="5"/>
      <c r="G39" s="185"/>
      <c r="H39" s="186"/>
      <c r="I39" s="185"/>
      <c r="J39" s="185"/>
      <c r="K39" s="185"/>
      <c r="L39" s="185"/>
      <c r="M39" s="252"/>
      <c r="Q39" s="94"/>
    </row>
    <row r="40" spans="1:17">
      <c r="A40" s="225"/>
      <c r="B40" s="13"/>
      <c r="C40" s="13"/>
      <c r="D40" s="12"/>
      <c r="E40" s="184"/>
      <c r="F40" s="12"/>
      <c r="G40" s="185"/>
      <c r="H40" s="186"/>
      <c r="I40" s="185"/>
      <c r="J40" s="185"/>
      <c r="K40" s="185"/>
      <c r="L40" s="185"/>
      <c r="M40" s="252"/>
      <c r="Q40" s="94"/>
    </row>
    <row r="41" spans="1:17" ht="15" customHeight="1">
      <c r="A41" s="289"/>
      <c r="B41" s="861" t="str">
        <f>VLOOKUP("RatingDate",ratings,17,0)</f>
        <v>Ratings as of 31.08.2025, data source: Bloomberg</v>
      </c>
      <c r="C41" s="26"/>
      <c r="D41" s="921"/>
      <c r="E41" s="922"/>
      <c r="F41" s="922"/>
      <c r="G41" s="922"/>
      <c r="H41" s="922"/>
      <c r="I41" s="290"/>
      <c r="J41" s="290"/>
      <c r="K41" s="290"/>
      <c r="L41" s="290"/>
      <c r="M41" s="291"/>
      <c r="N41" s="35"/>
      <c r="O41" s="35"/>
      <c r="P41" s="35"/>
      <c r="Q41" s="95"/>
    </row>
    <row r="42" spans="1:17">
      <c r="B42" s="13"/>
      <c r="C42" s="13"/>
      <c r="D42" s="12"/>
      <c r="E42" s="184"/>
      <c r="F42" s="12"/>
      <c r="G42" s="185"/>
      <c r="H42" s="186"/>
      <c r="I42" s="185"/>
      <c r="J42" s="185"/>
      <c r="K42" s="185"/>
      <c r="L42" s="185"/>
      <c r="M42" s="252"/>
    </row>
    <row r="43" spans="1:17">
      <c r="B43" s="13"/>
      <c r="C43" s="13"/>
      <c r="D43" s="12"/>
      <c r="E43" s="184"/>
      <c r="F43" s="12"/>
      <c r="G43" s="185"/>
      <c r="H43" s="186"/>
      <c r="I43" s="185"/>
      <c r="J43" s="185"/>
      <c r="K43" s="185"/>
      <c r="L43" s="185"/>
      <c r="M43" s="252"/>
    </row>
    <row r="44" spans="1:17">
      <c r="B44" s="13"/>
      <c r="C44" s="13"/>
      <c r="D44" s="12"/>
      <c r="E44" s="184"/>
      <c r="F44" s="12"/>
      <c r="G44" s="185"/>
      <c r="H44" s="186"/>
      <c r="I44" s="185"/>
      <c r="J44" s="185"/>
      <c r="K44" s="185"/>
      <c r="L44" s="185"/>
      <c r="M44" s="252"/>
    </row>
    <row r="45" spans="1:17">
      <c r="B45" s="13"/>
      <c r="C45" s="13"/>
      <c r="D45" s="12"/>
      <c r="E45" s="184"/>
      <c r="F45" s="12"/>
      <c r="G45" s="185"/>
      <c r="H45" s="186"/>
      <c r="I45" s="185"/>
      <c r="J45" s="185"/>
      <c r="K45" s="185"/>
      <c r="L45" s="185"/>
      <c r="M45" s="252"/>
    </row>
    <row r="46" spans="1:17">
      <c r="B46" s="13"/>
      <c r="C46" s="13"/>
      <c r="D46" s="12"/>
      <c r="E46" s="184"/>
      <c r="F46" s="12"/>
      <c r="G46" s="185"/>
      <c r="H46" s="186"/>
      <c r="I46" s="185"/>
      <c r="J46" s="185"/>
      <c r="K46" s="185"/>
      <c r="L46" s="185"/>
      <c r="M46" s="252"/>
    </row>
    <row r="47" spans="1:17">
      <c r="B47" s="13"/>
      <c r="C47" s="13"/>
      <c r="D47" s="12"/>
      <c r="E47" s="184"/>
      <c r="F47" s="12"/>
      <c r="G47" s="185"/>
      <c r="H47" s="186"/>
      <c r="I47" s="185"/>
      <c r="J47" s="185"/>
      <c r="K47" s="185"/>
      <c r="L47" s="185"/>
      <c r="M47" s="252"/>
    </row>
    <row r="48" spans="1:17">
      <c r="B48" s="13"/>
      <c r="C48" s="13"/>
      <c r="D48" s="12"/>
      <c r="E48" s="184"/>
      <c r="F48" s="12"/>
      <c r="G48" s="185"/>
      <c r="H48" s="186"/>
      <c r="I48" s="185"/>
      <c r="J48" s="185"/>
      <c r="K48" s="185"/>
      <c r="L48" s="185"/>
      <c r="M48" s="252"/>
    </row>
    <row r="49" spans="2:13">
      <c r="B49" s="13"/>
      <c r="C49" s="13"/>
      <c r="D49" s="12"/>
      <c r="E49" s="184"/>
      <c r="F49" s="12"/>
      <c r="G49" s="185"/>
      <c r="H49" s="186"/>
      <c r="I49" s="185"/>
      <c r="J49" s="185"/>
      <c r="K49" s="185"/>
      <c r="L49" s="185"/>
      <c r="M49" s="252"/>
    </row>
    <row r="50" spans="2:13">
      <c r="B50" s="13"/>
      <c r="C50" s="13"/>
      <c r="D50" s="12"/>
      <c r="E50" s="184"/>
      <c r="F50" s="12"/>
      <c r="G50" s="185"/>
      <c r="H50" s="186"/>
      <c r="I50" s="185"/>
      <c r="J50" s="185"/>
      <c r="K50" s="185"/>
      <c r="L50" s="185"/>
      <c r="M50" s="252"/>
    </row>
    <row r="51" spans="2:13" ht="18">
      <c r="B51" s="13"/>
      <c r="C51" s="13"/>
      <c r="D51" s="12"/>
      <c r="E51" s="226"/>
      <c r="F51" s="12"/>
      <c r="G51" s="185"/>
      <c r="H51" s="186"/>
      <c r="I51" s="185"/>
      <c r="J51" s="185"/>
      <c r="K51" s="185"/>
      <c r="L51" s="185"/>
      <c r="M51" s="252"/>
    </row>
    <row r="52" spans="2:13">
      <c r="B52" s="13"/>
      <c r="C52" s="13"/>
      <c r="D52" s="12"/>
      <c r="E52" s="184"/>
      <c r="F52" s="12"/>
      <c r="G52" s="185"/>
      <c r="H52" s="186"/>
      <c r="I52" s="185"/>
      <c r="J52" s="185"/>
      <c r="K52" s="185"/>
      <c r="L52" s="185"/>
      <c r="M52" s="252"/>
    </row>
    <row r="53" spans="2:13">
      <c r="B53" s="13"/>
      <c r="C53" s="13"/>
      <c r="D53" s="12"/>
      <c r="E53" s="184"/>
      <c r="F53" s="12"/>
      <c r="G53" s="185"/>
      <c r="H53" s="186"/>
      <c r="I53" s="185"/>
      <c r="J53" s="185"/>
      <c r="K53" s="185"/>
      <c r="L53" s="185"/>
      <c r="M53" s="252"/>
    </row>
    <row r="54" spans="2:13">
      <c r="B54" s="13"/>
      <c r="C54" s="13"/>
      <c r="D54" s="12"/>
      <c r="E54" s="184"/>
      <c r="F54" s="12"/>
      <c r="G54" s="185"/>
      <c r="H54" s="186"/>
      <c r="I54" s="185"/>
      <c r="J54" s="185"/>
      <c r="K54" s="185"/>
      <c r="L54" s="185"/>
      <c r="M54" s="252"/>
    </row>
    <row r="55" spans="2:13">
      <c r="B55" s="13"/>
      <c r="C55" s="13"/>
      <c r="D55" s="12"/>
      <c r="E55" s="184"/>
      <c r="F55" s="12"/>
      <c r="G55" s="185"/>
      <c r="H55" s="186"/>
      <c r="I55" s="185"/>
      <c r="J55" s="185"/>
      <c r="K55" s="185"/>
      <c r="L55" s="185"/>
      <c r="M55" s="252"/>
    </row>
    <row r="56" spans="2:13">
      <c r="B56" s="13"/>
      <c r="C56" s="13"/>
      <c r="D56" s="12"/>
      <c r="E56" s="184"/>
      <c r="F56" s="12"/>
      <c r="G56" s="185"/>
      <c r="H56" s="186"/>
      <c r="I56" s="185"/>
      <c r="J56" s="185"/>
      <c r="K56" s="185"/>
      <c r="L56" s="185"/>
      <c r="M56" s="252"/>
    </row>
    <row r="57" spans="2:13">
      <c r="B57" s="13"/>
      <c r="C57" s="13"/>
      <c r="D57" s="12"/>
      <c r="E57" s="184"/>
      <c r="F57" s="12"/>
      <c r="G57" s="185"/>
      <c r="H57" s="186"/>
      <c r="I57" s="185"/>
      <c r="J57" s="185"/>
      <c r="K57" s="185"/>
      <c r="L57" s="185"/>
      <c r="M57" s="252"/>
    </row>
    <row r="58" spans="2:13">
      <c r="B58" s="13"/>
      <c r="C58" s="13"/>
      <c r="D58" s="12"/>
      <c r="E58" s="184"/>
      <c r="F58" s="12"/>
      <c r="G58" s="185"/>
      <c r="H58" s="186"/>
      <c r="I58" s="185"/>
      <c r="J58" s="185"/>
      <c r="K58" s="185"/>
      <c r="L58" s="185"/>
      <c r="M58" s="252"/>
    </row>
    <row r="59" spans="2:13">
      <c r="B59" s="13"/>
      <c r="C59" s="13"/>
      <c r="D59" s="12"/>
      <c r="E59" s="184"/>
      <c r="F59" s="12"/>
      <c r="G59" s="185"/>
      <c r="H59" s="186"/>
      <c r="I59" s="185"/>
      <c r="J59" s="185"/>
      <c r="K59" s="185"/>
      <c r="L59" s="185"/>
      <c r="M59" s="252"/>
    </row>
    <row r="60" spans="2:13">
      <c r="B60" s="13"/>
      <c r="C60" s="13"/>
      <c r="D60" s="12"/>
      <c r="E60" s="184"/>
      <c r="F60" s="12"/>
      <c r="G60" s="185"/>
      <c r="H60" s="186"/>
      <c r="I60" s="185"/>
      <c r="J60" s="185"/>
      <c r="K60" s="185"/>
      <c r="L60" s="185"/>
      <c r="M60" s="252"/>
    </row>
    <row r="61" spans="2:13">
      <c r="B61" s="13"/>
      <c r="C61" s="13"/>
      <c r="D61" s="12"/>
      <c r="E61" s="184"/>
      <c r="F61" s="12"/>
      <c r="G61" s="185"/>
      <c r="H61" s="186"/>
      <c r="I61" s="185"/>
      <c r="J61" s="185"/>
      <c r="K61" s="185"/>
      <c r="L61" s="185"/>
      <c r="M61" s="252"/>
    </row>
    <row r="62" spans="2:13">
      <c r="B62" s="13"/>
      <c r="C62" s="13"/>
      <c r="D62" s="12"/>
      <c r="E62" s="184"/>
      <c r="F62" s="12"/>
      <c r="G62" s="185"/>
      <c r="H62" s="186"/>
      <c r="I62" s="185"/>
      <c r="J62" s="185"/>
      <c r="K62" s="185"/>
      <c r="L62" s="185"/>
      <c r="M62" s="252"/>
    </row>
    <row r="63" spans="2:13">
      <c r="B63" s="13"/>
      <c r="C63" s="13"/>
      <c r="D63" s="12"/>
      <c r="E63" s="184"/>
      <c r="F63" s="12"/>
      <c r="G63" s="185"/>
      <c r="H63" s="186"/>
      <c r="I63" s="185"/>
      <c r="J63" s="185"/>
      <c r="K63" s="185"/>
      <c r="L63" s="185"/>
      <c r="M63" s="252"/>
    </row>
    <row r="64" spans="2:13">
      <c r="B64" s="13"/>
      <c r="C64" s="13"/>
      <c r="D64" s="12"/>
      <c r="E64" s="184"/>
      <c r="F64" s="12"/>
      <c r="G64" s="185"/>
      <c r="H64" s="186"/>
      <c r="I64" s="185"/>
      <c r="J64" s="185"/>
      <c r="K64" s="185"/>
      <c r="L64" s="185"/>
      <c r="M64" s="252"/>
    </row>
    <row r="65" spans="2:13">
      <c r="B65" s="13"/>
      <c r="C65" s="13"/>
      <c r="D65" s="12"/>
      <c r="E65" s="184"/>
      <c r="F65" s="12"/>
      <c r="G65" s="185"/>
      <c r="H65" s="186"/>
      <c r="I65" s="185"/>
      <c r="J65" s="185"/>
      <c r="K65" s="185"/>
      <c r="L65" s="185"/>
      <c r="M65" s="252"/>
    </row>
    <row r="66" spans="2:13">
      <c r="B66" s="13"/>
      <c r="C66" s="13"/>
      <c r="D66" s="12"/>
      <c r="E66" s="184"/>
      <c r="F66" s="12"/>
      <c r="G66" s="185"/>
      <c r="H66" s="186"/>
      <c r="I66" s="185"/>
      <c r="J66" s="185"/>
      <c r="K66" s="185"/>
      <c r="L66" s="185"/>
      <c r="M66" s="252"/>
    </row>
    <row r="67" spans="2:13">
      <c r="B67" s="13"/>
      <c r="C67" s="13"/>
      <c r="D67" s="12"/>
      <c r="E67" s="184"/>
      <c r="F67" s="12"/>
      <c r="G67" s="185"/>
      <c r="H67" s="186"/>
      <c r="I67" s="185"/>
      <c r="J67" s="185"/>
      <c r="K67" s="185"/>
      <c r="L67" s="185"/>
      <c r="M67" s="252"/>
    </row>
    <row r="68" spans="2:13">
      <c r="B68" s="13"/>
      <c r="C68" s="13"/>
      <c r="D68" s="12"/>
      <c r="E68" s="184"/>
      <c r="F68" s="12"/>
      <c r="G68" s="185"/>
      <c r="H68" s="186"/>
      <c r="I68" s="185"/>
      <c r="J68" s="185"/>
      <c r="K68" s="185"/>
      <c r="L68" s="185"/>
      <c r="M68" s="252"/>
    </row>
    <row r="69" spans="2:13">
      <c r="B69" s="13"/>
      <c r="C69" s="13"/>
      <c r="D69" s="12"/>
      <c r="E69" s="184"/>
      <c r="F69" s="12"/>
      <c r="G69" s="185"/>
      <c r="H69" s="186"/>
      <c r="I69" s="185"/>
      <c r="J69" s="185"/>
      <c r="K69" s="185"/>
      <c r="L69" s="185"/>
      <c r="M69" s="252"/>
    </row>
    <row r="70" spans="2:13">
      <c r="B70" s="13"/>
      <c r="C70" s="13"/>
      <c r="D70" s="12"/>
      <c r="E70" s="184"/>
      <c r="F70" s="12"/>
      <c r="G70" s="185"/>
      <c r="H70" s="186"/>
      <c r="I70" s="185"/>
      <c r="J70" s="185"/>
      <c r="K70" s="185"/>
      <c r="L70" s="185"/>
      <c r="M70" s="252"/>
    </row>
    <row r="71" spans="2:13">
      <c r="B71" s="13"/>
      <c r="C71" s="13"/>
      <c r="D71" s="12"/>
      <c r="E71" s="292"/>
      <c r="F71" s="293"/>
      <c r="G71" s="219"/>
      <c r="H71" s="294"/>
      <c r="I71" s="219"/>
      <c r="J71" s="219"/>
      <c r="K71" s="219"/>
      <c r="L71" s="219"/>
      <c r="M71" s="252"/>
    </row>
    <row r="72" spans="2:13">
      <c r="B72" s="13"/>
      <c r="C72" s="13"/>
      <c r="D72" s="12"/>
      <c r="E72" s="292"/>
      <c r="F72" s="292"/>
      <c r="G72" s="292"/>
      <c r="H72" s="292"/>
      <c r="I72" s="292"/>
      <c r="J72" s="292"/>
      <c r="K72" s="292"/>
      <c r="L72" s="292"/>
      <c r="M72" s="252"/>
    </row>
    <row r="73" spans="2:13">
      <c r="B73" s="13"/>
      <c r="C73" s="13"/>
      <c r="D73" s="12"/>
      <c r="E73" s="292"/>
      <c r="F73" s="292"/>
      <c r="G73" s="292"/>
      <c r="H73" s="292"/>
      <c r="I73" s="292"/>
      <c r="J73" s="292"/>
      <c r="K73" s="292"/>
      <c r="L73" s="292"/>
      <c r="M73" s="252"/>
    </row>
    <row r="74" spans="2:13">
      <c r="B74" s="13"/>
      <c r="C74" s="13"/>
      <c r="D74" s="12"/>
      <c r="E74" s="191"/>
      <c r="F74" s="220"/>
      <c r="G74" s="292"/>
      <c r="H74" s="292"/>
      <c r="I74" s="292"/>
      <c r="J74" s="292"/>
      <c r="K74" s="292"/>
      <c r="L74" s="292"/>
      <c r="M74" s="252"/>
    </row>
    <row r="75" spans="2:13">
      <c r="B75" s="13"/>
      <c r="C75" s="13"/>
      <c r="D75" s="12"/>
      <c r="E75" s="293"/>
      <c r="F75" s="220"/>
      <c r="G75" s="292"/>
      <c r="H75" s="292"/>
      <c r="I75" s="292"/>
      <c r="J75" s="292"/>
      <c r="K75" s="292"/>
      <c r="L75" s="292"/>
      <c r="M75" s="252"/>
    </row>
    <row r="76" spans="2:13">
      <c r="B76" s="13"/>
      <c r="C76" s="13"/>
      <c r="D76" s="12"/>
      <c r="E76" s="292"/>
      <c r="F76" s="220"/>
      <c r="G76" s="292"/>
      <c r="H76" s="292"/>
      <c r="I76" s="292"/>
      <c r="J76" s="292"/>
      <c r="K76" s="292"/>
      <c r="L76" s="292"/>
      <c r="M76" s="252"/>
    </row>
    <row r="77" spans="2:13" ht="14">
      <c r="B77" s="13"/>
      <c r="C77" s="292"/>
      <c r="D77" s="293"/>
      <c r="E77" s="295"/>
      <c r="F77" s="295"/>
      <c r="G77" s="295"/>
      <c r="H77" s="295"/>
      <c r="I77" s="295"/>
      <c r="J77" s="295"/>
      <c r="K77" s="295"/>
      <c r="L77" s="295"/>
      <c r="M77" s="252"/>
    </row>
    <row r="78" spans="2:13" ht="14">
      <c r="B78" s="292"/>
      <c r="E78" s="295"/>
      <c r="F78" s="295"/>
      <c r="G78" s="295"/>
      <c r="H78" s="295"/>
      <c r="I78" s="295"/>
      <c r="J78" s="295"/>
      <c r="K78" s="295"/>
      <c r="L78" s="295"/>
      <c r="M78" s="252"/>
    </row>
    <row r="79" spans="2:13" ht="14">
      <c r="E79" s="194"/>
      <c r="F79" s="221"/>
      <c r="G79" s="295"/>
      <c r="H79" s="295"/>
      <c r="I79" s="295"/>
      <c r="J79" s="295"/>
      <c r="K79" s="295"/>
      <c r="L79" s="295"/>
      <c r="M79" s="252"/>
    </row>
    <row r="80" spans="2:13" ht="14">
      <c r="C80" s="191"/>
      <c r="D80" s="220"/>
      <c r="E80" s="296"/>
      <c r="F80" s="221"/>
      <c r="G80" s="295"/>
      <c r="H80" s="295"/>
      <c r="I80" s="295"/>
      <c r="J80" s="295"/>
      <c r="K80" s="295"/>
      <c r="L80" s="295"/>
      <c r="M80" s="252"/>
    </row>
    <row r="81" spans="2:13" ht="14">
      <c r="B81" s="191"/>
      <c r="C81" s="297"/>
      <c r="D81" s="220"/>
      <c r="E81" s="295"/>
      <c r="F81" s="221"/>
      <c r="G81" s="295"/>
      <c r="H81" s="295"/>
      <c r="I81" s="295"/>
      <c r="J81" s="295"/>
      <c r="K81" s="295"/>
      <c r="L81" s="295"/>
      <c r="M81" s="252"/>
    </row>
    <row r="82" spans="2:13">
      <c r="B82" s="297"/>
      <c r="D82" s="220"/>
      <c r="M82" s="252"/>
    </row>
    <row r="83" spans="2:13">
      <c r="M83" s="252"/>
    </row>
    <row r="84" spans="2:13">
      <c r="M84" s="252"/>
    </row>
    <row r="85" spans="2:13">
      <c r="M85" s="252"/>
    </row>
    <row r="86" spans="2:13">
      <c r="M86" s="252"/>
    </row>
    <row r="87" spans="2:13">
      <c r="M87" s="252"/>
    </row>
    <row r="88" spans="2:13">
      <c r="M88" s="252"/>
    </row>
    <row r="89" spans="2:13">
      <c r="M89" s="252"/>
    </row>
    <row r="90" spans="2:13">
      <c r="M90" s="252"/>
    </row>
    <row r="91" spans="2:13">
      <c r="M91" s="252"/>
    </row>
    <row r="92" spans="2:13">
      <c r="M92" s="252"/>
    </row>
    <row r="93" spans="2:13">
      <c r="M93" s="252"/>
    </row>
    <row r="94" spans="2:13">
      <c r="M94" s="252"/>
    </row>
    <row r="95" spans="2:13">
      <c r="M95" s="252"/>
    </row>
    <row r="96" spans="2:13">
      <c r="M96" s="252"/>
    </row>
    <row r="97" spans="13:13">
      <c r="M97" s="252"/>
    </row>
    <row r="98" spans="13:13">
      <c r="M98" s="252"/>
    </row>
    <row r="99" spans="13:13">
      <c r="M99" s="252"/>
    </row>
    <row r="100" spans="13:13">
      <c r="M100" s="252"/>
    </row>
    <row r="101" spans="13:13">
      <c r="M101" s="252"/>
    </row>
    <row r="102" spans="13:13">
      <c r="M102" s="252"/>
    </row>
    <row r="103" spans="13:13">
      <c r="M103" s="252"/>
    </row>
    <row r="104" spans="13:13">
      <c r="M104" s="252"/>
    </row>
    <row r="105" spans="13:13">
      <c r="M105" s="252"/>
    </row>
    <row r="106" spans="13:13">
      <c r="M106" s="252"/>
    </row>
    <row r="107" spans="13:13">
      <c r="M107" s="252"/>
    </row>
    <row r="108" spans="13:13">
      <c r="M108" s="252"/>
    </row>
    <row r="109" spans="13:13">
      <c r="M109" s="252"/>
    </row>
    <row r="110" spans="13:13">
      <c r="M110" s="252"/>
    </row>
    <row r="111" spans="13:13">
      <c r="M111" s="252"/>
    </row>
    <row r="112" spans="13:13">
      <c r="M112" s="252"/>
    </row>
    <row r="113" spans="13:13">
      <c r="M113" s="252"/>
    </row>
    <row r="114" spans="13:13">
      <c r="M114" s="252"/>
    </row>
    <row r="115" spans="13:13">
      <c r="M115" s="252"/>
    </row>
    <row r="116" spans="13:13">
      <c r="M116" s="252"/>
    </row>
    <row r="117" spans="13:13">
      <c r="M117" s="252"/>
    </row>
    <row r="118" spans="13:13">
      <c r="M118" s="252"/>
    </row>
    <row r="119" spans="13:13">
      <c r="M119" s="252"/>
    </row>
    <row r="120" spans="13:13">
      <c r="M120" s="252"/>
    </row>
    <row r="121" spans="13:13">
      <c r="M121" s="252"/>
    </row>
    <row r="122" spans="13:13">
      <c r="M122" s="252"/>
    </row>
    <row r="123" spans="13:13">
      <c r="M123" s="252"/>
    </row>
    <row r="124" spans="13:13">
      <c r="M124" s="252"/>
    </row>
    <row r="125" spans="13:13">
      <c r="M125" s="252"/>
    </row>
    <row r="126" spans="13:13">
      <c r="M126" s="252"/>
    </row>
    <row r="127" spans="13:13">
      <c r="M127" s="252"/>
    </row>
    <row r="128" spans="13:13">
      <c r="M128" s="252"/>
    </row>
    <row r="129" spans="13:13">
      <c r="M129" s="252"/>
    </row>
    <row r="130" spans="13:13">
      <c r="M130" s="252"/>
    </row>
    <row r="131" spans="13:13">
      <c r="M131" s="252"/>
    </row>
    <row r="132" spans="13:13">
      <c r="M132" s="252"/>
    </row>
    <row r="133" spans="13:13">
      <c r="M133" s="252"/>
    </row>
    <row r="134" spans="13:13">
      <c r="M134" s="252"/>
    </row>
    <row r="135" spans="13:13">
      <c r="M135" s="252"/>
    </row>
    <row r="136" spans="13:13">
      <c r="M136" s="252"/>
    </row>
    <row r="137" spans="13:13">
      <c r="M137" s="252"/>
    </row>
    <row r="138" spans="13:13">
      <c r="M138" s="252"/>
    </row>
    <row r="139" spans="13:13">
      <c r="M139" s="252"/>
    </row>
    <row r="140" spans="13:13">
      <c r="M140" s="252"/>
    </row>
    <row r="141" spans="13:13">
      <c r="M141" s="252"/>
    </row>
    <row r="142" spans="13:13">
      <c r="M142" s="252"/>
    </row>
    <row r="143" spans="13:13">
      <c r="M143" s="252"/>
    </row>
    <row r="144" spans="13:13">
      <c r="M144" s="252"/>
    </row>
    <row r="145" spans="13:13">
      <c r="M145" s="252"/>
    </row>
    <row r="146" spans="13:13">
      <c r="M146" s="252"/>
    </row>
    <row r="147" spans="13:13">
      <c r="M147" s="252"/>
    </row>
    <row r="148" spans="13:13">
      <c r="M148" s="252"/>
    </row>
    <row r="149" spans="13:13">
      <c r="M149" s="252"/>
    </row>
    <row r="150" spans="13:13">
      <c r="M150" s="252"/>
    </row>
    <row r="151" spans="13:13">
      <c r="M151" s="252"/>
    </row>
    <row r="152" spans="13:13">
      <c r="M152" s="252"/>
    </row>
    <row r="153" spans="13:13">
      <c r="M153" s="252"/>
    </row>
    <row r="154" spans="13:13">
      <c r="M154" s="252"/>
    </row>
    <row r="155" spans="13:13">
      <c r="M155" s="252"/>
    </row>
    <row r="156" spans="13:13">
      <c r="M156" s="252"/>
    </row>
    <row r="157" spans="13:13">
      <c r="M157" s="252"/>
    </row>
    <row r="158" spans="13:13">
      <c r="M158" s="252"/>
    </row>
    <row r="159" spans="13:13">
      <c r="M159" s="252"/>
    </row>
    <row r="160" spans="13:13">
      <c r="M160" s="252"/>
    </row>
    <row r="161" spans="13:13">
      <c r="M161" s="252"/>
    </row>
    <row r="162" spans="13:13">
      <c r="M162" s="252"/>
    </row>
    <row r="163" spans="13:13">
      <c r="M163" s="252"/>
    </row>
    <row r="164" spans="13:13">
      <c r="M164" s="252"/>
    </row>
    <row r="165" spans="13:13">
      <c r="M165" s="252"/>
    </row>
    <row r="166" spans="13:13">
      <c r="M166" s="252"/>
    </row>
    <row r="167" spans="13:13">
      <c r="M167" s="252"/>
    </row>
    <row r="168" spans="13:13">
      <c r="M168" s="252"/>
    </row>
    <row r="169" spans="13:13">
      <c r="M169" s="252"/>
    </row>
    <row r="170" spans="13:13">
      <c r="M170" s="252"/>
    </row>
    <row r="171" spans="13:13">
      <c r="M171" s="252"/>
    </row>
    <row r="172" spans="13:13">
      <c r="M172" s="252"/>
    </row>
    <row r="173" spans="13:13">
      <c r="M173" s="252"/>
    </row>
    <row r="174" spans="13:13">
      <c r="M174" s="252"/>
    </row>
    <row r="175" spans="13:13">
      <c r="M175" s="252"/>
    </row>
    <row r="176" spans="13:13">
      <c r="M176" s="252"/>
    </row>
    <row r="177" spans="13:13">
      <c r="M177" s="252"/>
    </row>
    <row r="178" spans="13:13">
      <c r="M178" s="252"/>
    </row>
    <row r="179" spans="13:13">
      <c r="M179" s="252"/>
    </row>
    <row r="180" spans="13:13">
      <c r="M180" s="252"/>
    </row>
    <row r="181" spans="13:13">
      <c r="M181" s="252"/>
    </row>
    <row r="182" spans="13:13">
      <c r="M182" s="252"/>
    </row>
    <row r="183" spans="13:13">
      <c r="M183" s="252"/>
    </row>
    <row r="184" spans="13:13">
      <c r="M184" s="252"/>
    </row>
    <row r="185" spans="13:13">
      <c r="M185" s="252"/>
    </row>
    <row r="186" spans="13:13">
      <c r="M186" s="252"/>
    </row>
    <row r="187" spans="13:13">
      <c r="M187" s="252"/>
    </row>
    <row r="188" spans="13:13">
      <c r="M188" s="252"/>
    </row>
    <row r="189" spans="13:13">
      <c r="M189" s="252"/>
    </row>
    <row r="190" spans="13:13">
      <c r="M190" s="252"/>
    </row>
    <row r="191" spans="13:13">
      <c r="M191" s="252"/>
    </row>
    <row r="192" spans="13:13">
      <c r="M192" s="252"/>
    </row>
    <row r="193" spans="13:13">
      <c r="M193" s="252"/>
    </row>
    <row r="194" spans="13:13">
      <c r="M194" s="252"/>
    </row>
    <row r="195" spans="13:13">
      <c r="M195" s="252"/>
    </row>
    <row r="196" spans="13:13">
      <c r="M196" s="252"/>
    </row>
    <row r="197" spans="13:13">
      <c r="M197" s="252"/>
    </row>
    <row r="198" spans="13:13">
      <c r="M198" s="252"/>
    </row>
    <row r="199" spans="13:13">
      <c r="M199" s="252"/>
    </row>
    <row r="200" spans="13:13">
      <c r="M200" s="252"/>
    </row>
    <row r="201" spans="13:13">
      <c r="M201" s="252"/>
    </row>
    <row r="202" spans="13:13">
      <c r="M202" s="252"/>
    </row>
    <row r="203" spans="13:13">
      <c r="M203" s="252"/>
    </row>
    <row r="204" spans="13:13">
      <c r="M204" s="252"/>
    </row>
    <row r="205" spans="13:13">
      <c r="M205" s="252"/>
    </row>
    <row r="206" spans="13:13">
      <c r="M206" s="252"/>
    </row>
    <row r="207" spans="13:13">
      <c r="M207" s="252"/>
    </row>
    <row r="208" spans="13:13">
      <c r="M208" s="252"/>
    </row>
    <row r="209" spans="13:13">
      <c r="M209" s="252"/>
    </row>
    <row r="210" spans="13:13">
      <c r="M210" s="252"/>
    </row>
    <row r="211" spans="13:13">
      <c r="M211" s="252"/>
    </row>
    <row r="212" spans="13:13">
      <c r="M212" s="252"/>
    </row>
    <row r="213" spans="13:13">
      <c r="M213" s="252"/>
    </row>
    <row r="214" spans="13:13">
      <c r="M214" s="252"/>
    </row>
    <row r="215" spans="13:13">
      <c r="M215" s="252"/>
    </row>
    <row r="216" spans="13:13">
      <c r="M216" s="252"/>
    </row>
    <row r="217" spans="13:13">
      <c r="M217" s="252"/>
    </row>
    <row r="218" spans="13:13">
      <c r="M218" s="252"/>
    </row>
    <row r="219" spans="13:13">
      <c r="M219" s="252"/>
    </row>
    <row r="220" spans="13:13">
      <c r="M220" s="252"/>
    </row>
    <row r="221" spans="13:13">
      <c r="M221" s="252"/>
    </row>
    <row r="222" spans="13:13">
      <c r="M222" s="252"/>
    </row>
    <row r="223" spans="13:13">
      <c r="M223" s="252"/>
    </row>
    <row r="224" spans="13:13">
      <c r="M224" s="252"/>
    </row>
    <row r="225" spans="13:13">
      <c r="M225" s="252"/>
    </row>
    <row r="226" spans="13:13">
      <c r="M226" s="252"/>
    </row>
    <row r="227" spans="13:13">
      <c r="M227" s="252"/>
    </row>
    <row r="228" spans="13:13">
      <c r="M228" s="252"/>
    </row>
    <row r="229" spans="13:13">
      <c r="M229" s="252"/>
    </row>
    <row r="230" spans="13:13">
      <c r="M230" s="252"/>
    </row>
    <row r="231" spans="13:13">
      <c r="M231" s="252"/>
    </row>
    <row r="232" spans="13:13">
      <c r="M232" s="252"/>
    </row>
    <row r="233" spans="13:13">
      <c r="M233" s="252"/>
    </row>
    <row r="234" spans="13:13">
      <c r="M234" s="252"/>
    </row>
    <row r="235" spans="13:13">
      <c r="M235" s="252"/>
    </row>
    <row r="236" spans="13:13">
      <c r="M236" s="252"/>
    </row>
    <row r="237" spans="13:13">
      <c r="M237" s="252"/>
    </row>
    <row r="238" spans="13:13">
      <c r="M238" s="252"/>
    </row>
    <row r="239" spans="13:13">
      <c r="M239" s="252"/>
    </row>
    <row r="240" spans="13:13">
      <c r="M240" s="252"/>
    </row>
    <row r="241" spans="13:13">
      <c r="M241" s="252"/>
    </row>
    <row r="242" spans="13:13">
      <c r="M242" s="252"/>
    </row>
    <row r="243" spans="13:13">
      <c r="M243" s="252"/>
    </row>
    <row r="244" spans="13:13">
      <c r="M244" s="252"/>
    </row>
    <row r="245" spans="13:13">
      <c r="M245" s="252"/>
    </row>
    <row r="246" spans="13:13">
      <c r="M246" s="252"/>
    </row>
    <row r="247" spans="13:13">
      <c r="M247" s="252"/>
    </row>
    <row r="248" spans="13:13">
      <c r="M248" s="252"/>
    </row>
    <row r="249" spans="13:13">
      <c r="M249" s="252"/>
    </row>
    <row r="250" spans="13:13">
      <c r="M250" s="252"/>
    </row>
    <row r="251" spans="13:13">
      <c r="M251" s="252"/>
    </row>
    <row r="252" spans="13:13">
      <c r="M252" s="252"/>
    </row>
    <row r="253" spans="13:13">
      <c r="M253" s="252"/>
    </row>
    <row r="254" spans="13:13">
      <c r="M254" s="252"/>
    </row>
    <row r="255" spans="13:13">
      <c r="M255" s="252"/>
    </row>
    <row r="256" spans="13:13">
      <c r="M256" s="252"/>
    </row>
    <row r="257" spans="13:13">
      <c r="M257" s="252"/>
    </row>
    <row r="258" spans="13:13">
      <c r="M258" s="252"/>
    </row>
    <row r="259" spans="13:13">
      <c r="M259" s="252"/>
    </row>
    <row r="260" spans="13:13">
      <c r="M260" s="252"/>
    </row>
    <row r="261" spans="13:13">
      <c r="M261" s="252"/>
    </row>
    <row r="262" spans="13:13">
      <c r="M262" s="252"/>
    </row>
    <row r="263" spans="13:13">
      <c r="M263" s="252"/>
    </row>
    <row r="264" spans="13:13">
      <c r="M264" s="252"/>
    </row>
    <row r="265" spans="13:13">
      <c r="M265" s="252"/>
    </row>
    <row r="266" spans="13:13">
      <c r="M266" s="252"/>
    </row>
    <row r="267" spans="13:13">
      <c r="M267" s="252"/>
    </row>
    <row r="268" spans="13:13">
      <c r="M268" s="252"/>
    </row>
    <row r="269" spans="13:13">
      <c r="M269" s="252"/>
    </row>
    <row r="270" spans="13:13">
      <c r="M270" s="252"/>
    </row>
    <row r="271" spans="13:13">
      <c r="M271" s="252"/>
    </row>
    <row r="272" spans="13:13">
      <c r="M272" s="252"/>
    </row>
    <row r="273" spans="13:13">
      <c r="M273" s="252"/>
    </row>
    <row r="274" spans="13:13">
      <c r="M274" s="252"/>
    </row>
    <row r="275" spans="13:13">
      <c r="M275" s="252"/>
    </row>
    <row r="276" spans="13:13">
      <c r="M276" s="252"/>
    </row>
    <row r="277" spans="13:13">
      <c r="M277" s="252"/>
    </row>
    <row r="278" spans="13:13">
      <c r="M278" s="252"/>
    </row>
    <row r="279" spans="13:13">
      <c r="M279" s="252"/>
    </row>
    <row r="280" spans="13:13">
      <c r="M280" s="252"/>
    </row>
    <row r="281" spans="13:13">
      <c r="M281" s="252"/>
    </row>
    <row r="282" spans="13:13">
      <c r="M282" s="252"/>
    </row>
    <row r="283" spans="13:13">
      <c r="M283" s="252"/>
    </row>
    <row r="284" spans="13:13">
      <c r="M284" s="252"/>
    </row>
    <row r="285" spans="13:13">
      <c r="M285" s="252"/>
    </row>
    <row r="286" spans="13:13">
      <c r="M286" s="252"/>
    </row>
    <row r="287" spans="13:13">
      <c r="M287" s="252"/>
    </row>
    <row r="288" spans="13:13">
      <c r="M288" s="252"/>
    </row>
    <row r="289" spans="13:13">
      <c r="M289" s="252"/>
    </row>
    <row r="290" spans="13:13">
      <c r="M290" s="252"/>
    </row>
    <row r="291" spans="13:13">
      <c r="M291" s="252"/>
    </row>
    <row r="292" spans="13:13">
      <c r="M292" s="252"/>
    </row>
    <row r="293" spans="13:13">
      <c r="M293" s="252"/>
    </row>
    <row r="294" spans="13:13">
      <c r="M294" s="252"/>
    </row>
    <row r="295" spans="13:13">
      <c r="M295" s="252"/>
    </row>
    <row r="296" spans="13:13">
      <c r="M296" s="252"/>
    </row>
    <row r="297" spans="13:13">
      <c r="M297" s="252"/>
    </row>
    <row r="298" spans="13:13">
      <c r="M298" s="252"/>
    </row>
    <row r="299" spans="13:13">
      <c r="M299" s="252"/>
    </row>
    <row r="300" spans="13:13">
      <c r="M300" s="252"/>
    </row>
    <row r="305" s="22" customFormat="1"/>
    <row r="306" s="22" customFormat="1"/>
    <row r="307" s="22" customFormat="1"/>
    <row r="308" s="22" customFormat="1"/>
    <row r="309" s="22" customFormat="1"/>
    <row r="310" s="22" customFormat="1"/>
    <row r="311" s="22" customFormat="1"/>
    <row r="312" s="22" customFormat="1"/>
    <row r="313" s="22" customFormat="1"/>
    <row r="314" s="22" customFormat="1"/>
    <row r="315" s="22" customFormat="1"/>
    <row r="316" s="22" customFormat="1"/>
    <row r="317" s="22" customFormat="1"/>
    <row r="318" s="22" customFormat="1"/>
    <row r="319" s="22" customFormat="1"/>
    <row r="320"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row r="2239" s="22" customFormat="1"/>
    <row r="2240" s="22" customFormat="1"/>
  </sheetData>
  <mergeCells count="3">
    <mergeCell ref="D17:F17"/>
    <mergeCell ref="D41:H41"/>
    <mergeCell ref="G17:I17"/>
  </mergeCells>
  <pageMargins left="0.70866141732283472" right="0.70866141732283472" top="1.0236220472440944" bottom="1.0236220472440944" header="0.39370078740157483" footer="0.39370078740157483"/>
  <pageSetup paperSize="9" scale="57"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Q220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8" customWidth="1"/>
    <col min="2" max="2" width="27.81640625" style="18" customWidth="1"/>
    <col min="3" max="3" width="20.81640625" style="18" customWidth="1"/>
    <col min="4" max="4" width="10.81640625" style="18" customWidth="1"/>
    <col min="5" max="5" width="12.1796875" style="18" customWidth="1"/>
    <col min="6" max="6" width="10.1796875" style="18" customWidth="1"/>
    <col min="7" max="7" width="10.81640625" style="18" customWidth="1"/>
    <col min="8" max="8" width="13.1796875" style="18" customWidth="1"/>
    <col min="9" max="9" width="10.81640625" style="18" customWidth="1"/>
    <col min="10" max="10" width="12.81640625" style="18" customWidth="1"/>
    <col min="11" max="14" width="10.81640625" style="18" customWidth="1"/>
    <col min="15" max="16384" width="9.1796875" style="18"/>
  </cols>
  <sheetData>
    <row r="1" spans="1:17" ht="6" customHeight="1">
      <c r="A1" s="112"/>
      <c r="B1" s="44"/>
      <c r="C1" s="44"/>
      <c r="D1" s="44"/>
      <c r="E1" s="44"/>
      <c r="F1" s="44"/>
      <c r="G1" s="44"/>
      <c r="H1" s="44"/>
      <c r="I1" s="44"/>
      <c r="J1" s="44"/>
      <c r="K1" s="44"/>
      <c r="L1" s="44"/>
      <c r="M1" s="44"/>
      <c r="N1" s="44"/>
      <c r="O1" s="113"/>
    </row>
    <row r="2" spans="1:17" ht="18">
      <c r="A2" s="114"/>
      <c r="B2" s="42" t="str">
        <f>'Cover Sheet'!B2</f>
        <v>SC Germany Consumer 2024-1</v>
      </c>
      <c r="C2" s="42"/>
      <c r="E2" s="927" t="str">
        <f>'Cover Sheet'!D2</f>
        <v>Calculation Date</v>
      </c>
      <c r="F2" s="928"/>
      <c r="G2" s="116"/>
      <c r="H2" s="117">
        <f>'Cover Sheet'!F2</f>
        <v>45911</v>
      </c>
      <c r="I2" s="155"/>
      <c r="J2" s="116"/>
      <c r="K2" s="116"/>
      <c r="L2" s="116"/>
      <c r="M2" s="116"/>
      <c r="N2" s="118"/>
      <c r="O2" s="119"/>
    </row>
    <row r="3" spans="1:17" ht="18">
      <c r="A3" s="114"/>
      <c r="B3" s="42" t="str">
        <f>'Cover Sheet'!B3</f>
        <v>Monthly Investor Report</v>
      </c>
      <c r="C3" s="42"/>
      <c r="E3" s="929" t="s">
        <v>2</v>
      </c>
      <c r="F3" s="930"/>
      <c r="G3" s="123"/>
      <c r="H3" s="123">
        <f>'Cover Sheet'!F3</f>
        <v>45915</v>
      </c>
      <c r="I3" s="156"/>
      <c r="J3" s="122"/>
      <c r="K3" s="122"/>
      <c r="L3" s="122"/>
      <c r="M3" s="122"/>
      <c r="N3" s="124"/>
      <c r="O3" s="119"/>
    </row>
    <row r="4" spans="1:17">
      <c r="A4" s="114"/>
      <c r="B4" s="120"/>
      <c r="C4" s="99"/>
      <c r="E4" s="929" t="s">
        <v>3</v>
      </c>
      <c r="F4" s="930"/>
      <c r="G4" s="126"/>
      <c r="H4" s="126">
        <f>'Cover Sheet'!F4</f>
        <v>16</v>
      </c>
      <c r="I4" s="157"/>
      <c r="J4" s="127"/>
      <c r="K4" s="122"/>
      <c r="L4" s="122"/>
      <c r="M4" s="122"/>
      <c r="N4" s="128"/>
      <c r="O4" s="119"/>
    </row>
    <row r="5" spans="1:17" ht="18">
      <c r="A5" s="114"/>
      <c r="B5" s="129" t="s">
        <v>358</v>
      </c>
      <c r="C5" s="129"/>
      <c r="E5" s="929" t="s">
        <v>1</v>
      </c>
      <c r="F5" s="930"/>
      <c r="G5" s="158"/>
      <c r="H5" s="130">
        <f>'Cover Sheet'!F5</f>
        <v>45915</v>
      </c>
      <c r="I5" s="122"/>
      <c r="J5" s="127"/>
      <c r="K5" s="122"/>
      <c r="L5" s="122"/>
      <c r="M5" s="122"/>
      <c r="N5" s="128"/>
      <c r="O5" s="119"/>
    </row>
    <row r="6" spans="1:17" ht="15" customHeight="1">
      <c r="A6" s="114"/>
      <c r="B6" s="131"/>
      <c r="C6" s="120"/>
      <c r="E6" s="923" t="s">
        <v>51</v>
      </c>
      <c r="F6" s="924"/>
      <c r="G6" s="123" t="s">
        <v>34</v>
      </c>
      <c r="H6" s="123">
        <f>'Cover Sheet'!F6</f>
        <v>45883</v>
      </c>
      <c r="I6" s="123" t="s">
        <v>4</v>
      </c>
      <c r="J6" s="123">
        <f>'Cover Sheet'!$H$6</f>
        <v>45915</v>
      </c>
      <c r="K6" s="123" t="s">
        <v>15</v>
      </c>
      <c r="L6" s="123"/>
      <c r="M6" s="123"/>
      <c r="N6" s="159" t="str">
        <f>'Cover Sheet'!$J$6</f>
        <v>32 days</v>
      </c>
      <c r="O6" s="160"/>
    </row>
    <row r="7" spans="1:17" ht="13">
      <c r="A7" s="114"/>
      <c r="D7" s="99"/>
      <c r="E7" s="925" t="s">
        <v>111</v>
      </c>
      <c r="F7" s="926"/>
      <c r="G7" s="138" t="s">
        <v>34</v>
      </c>
      <c r="H7" s="138" t="str">
        <f>'Cover Sheet'!F7</f>
        <v>01.08.2025</v>
      </c>
      <c r="I7" s="138" t="s">
        <v>4</v>
      </c>
      <c r="J7" s="138">
        <f>'Cover Sheet'!H7</f>
        <v>45900</v>
      </c>
      <c r="K7" s="161"/>
      <c r="L7" s="161"/>
      <c r="M7" s="161"/>
      <c r="N7" s="162"/>
      <c r="O7" s="119"/>
    </row>
    <row r="8" spans="1:17" ht="13">
      <c r="A8" s="114"/>
      <c r="E8" s="142"/>
      <c r="F8" s="81"/>
      <c r="G8" s="142"/>
      <c r="I8" s="163"/>
      <c r="K8" s="143"/>
      <c r="L8" s="143"/>
      <c r="M8" s="143"/>
      <c r="O8" s="119"/>
    </row>
    <row r="9" spans="1:17" ht="13">
      <c r="A9" s="114"/>
      <c r="O9" s="164"/>
    </row>
    <row r="10" spans="1:17">
      <c r="A10" s="114"/>
      <c r="F10" s="111"/>
      <c r="O10" s="119"/>
    </row>
    <row r="11" spans="1:17" ht="12.75" customHeight="1">
      <c r="A11" s="114"/>
      <c r="B11" s="165"/>
      <c r="D11" s="9"/>
      <c r="E11" s="9"/>
      <c r="F11" s="9"/>
      <c r="G11" s="9"/>
      <c r="H11" s="9"/>
      <c r="I11" s="9"/>
      <c r="J11" s="9"/>
      <c r="K11" s="9"/>
      <c r="L11" s="9"/>
      <c r="M11" s="9"/>
      <c r="N11" s="9"/>
      <c r="O11" s="166"/>
    </row>
    <row r="12" spans="1:17" ht="12.75" customHeight="1">
      <c r="A12" s="114"/>
      <c r="B12" s="165"/>
      <c r="D12" s="9"/>
      <c r="E12" s="9"/>
      <c r="F12" s="9"/>
      <c r="G12" s="9"/>
      <c r="H12" s="9"/>
      <c r="I12" s="9"/>
      <c r="J12" s="9"/>
      <c r="K12" s="9"/>
      <c r="L12" s="9"/>
      <c r="M12" s="9"/>
      <c r="N12" s="9"/>
      <c r="O12" s="166"/>
    </row>
    <row r="13" spans="1:17" ht="18">
      <c r="A13" s="114"/>
      <c r="B13" s="198"/>
      <c r="D13" s="199"/>
      <c r="E13" s="199"/>
      <c r="F13" s="167"/>
      <c r="G13" s="167"/>
      <c r="H13" s="167"/>
      <c r="I13" s="167"/>
      <c r="J13" s="168"/>
      <c r="K13" s="168"/>
      <c r="L13" s="168"/>
      <c r="M13" s="168"/>
      <c r="N13" s="111"/>
      <c r="O13" s="119"/>
      <c r="Q13" s="111"/>
    </row>
    <row r="14" spans="1:17" ht="18">
      <c r="A14" s="114"/>
      <c r="B14" s="832" t="s">
        <v>731</v>
      </c>
      <c r="C14"/>
      <c r="D14" s="201"/>
      <c r="E14" s="202"/>
      <c r="F14" s="203"/>
      <c r="G14" s="203"/>
      <c r="H14" s="203"/>
      <c r="I14" s="203"/>
      <c r="J14" s="203"/>
      <c r="K14" s="204"/>
      <c r="L14" s="204"/>
      <c r="M14" s="204"/>
      <c r="N14" s="168"/>
      <c r="O14" s="119"/>
      <c r="Q14" s="111"/>
    </row>
    <row r="15" spans="1:17" ht="14.5">
      <c r="A15" s="114"/>
      <c r="B15" s="833" t="s">
        <v>732</v>
      </c>
      <c r="C15" s="834" t="s">
        <v>733</v>
      </c>
      <c r="D15" s="205"/>
      <c r="E15" s="205"/>
      <c r="F15" s="205"/>
      <c r="G15" s="205"/>
      <c r="H15" s="205"/>
      <c r="I15" s="205"/>
      <c r="J15" s="203"/>
      <c r="K15" s="206"/>
      <c r="L15" s="206"/>
      <c r="M15" s="206"/>
      <c r="N15" s="206"/>
      <c r="O15" s="119"/>
      <c r="Q15" s="111"/>
    </row>
    <row r="16" spans="1:17">
      <c r="A16" s="114"/>
      <c r="B16" s="40"/>
      <c r="C16" s="182"/>
      <c r="D16" s="205"/>
      <c r="E16" s="205"/>
      <c r="F16" s="205"/>
      <c r="G16" s="205"/>
      <c r="H16" s="205"/>
      <c r="I16" s="205"/>
      <c r="J16" s="205"/>
      <c r="K16" s="206"/>
      <c r="L16" s="206"/>
      <c r="M16" s="206"/>
      <c r="N16" s="206"/>
      <c r="O16" s="119"/>
      <c r="Q16" s="111"/>
    </row>
    <row r="17" spans="1:17">
      <c r="A17" s="114"/>
      <c r="C17" s="207"/>
      <c r="D17" s="208"/>
      <c r="F17" s="205"/>
      <c r="G17" s="205"/>
      <c r="H17" s="205"/>
      <c r="I17" s="205"/>
      <c r="J17" s="205"/>
      <c r="K17" s="206"/>
      <c r="L17" s="206"/>
      <c r="M17" s="206"/>
      <c r="N17" s="206"/>
      <c r="O17" s="119"/>
      <c r="Q17" s="111"/>
    </row>
    <row r="18" spans="1:17">
      <c r="A18" s="114"/>
      <c r="B18" s="40"/>
      <c r="C18" s="182"/>
      <c r="D18" s="205"/>
      <c r="E18" s="205"/>
      <c r="G18" s="205"/>
      <c r="H18" s="205"/>
      <c r="I18" s="205"/>
      <c r="J18" s="205"/>
      <c r="K18" s="206"/>
      <c r="L18" s="206"/>
      <c r="M18" s="206"/>
      <c r="N18" s="206"/>
      <c r="O18" s="119"/>
      <c r="Q18" s="111"/>
    </row>
    <row r="19" spans="1:17">
      <c r="A19" s="114"/>
      <c r="C19" s="182"/>
      <c r="D19" s="208"/>
      <c r="E19" s="205"/>
      <c r="F19" s="205"/>
      <c r="G19" s="205"/>
      <c r="H19" s="205"/>
      <c r="I19" s="205"/>
      <c r="J19" s="205"/>
      <c r="K19" s="206"/>
      <c r="L19" s="206"/>
      <c r="M19" s="206"/>
      <c r="N19" s="206"/>
      <c r="O19" s="119"/>
      <c r="Q19" s="111"/>
    </row>
    <row r="20" spans="1:17" ht="12.75" customHeight="1">
      <c r="A20" s="114"/>
      <c r="B20" s="40"/>
      <c r="C20" s="182"/>
      <c r="D20" s="205"/>
      <c r="F20" s="205"/>
      <c r="G20" s="209"/>
      <c r="H20" s="209"/>
      <c r="I20" s="209"/>
      <c r="J20" s="205"/>
      <c r="K20" s="206"/>
      <c r="L20" s="206"/>
      <c r="M20" s="206"/>
      <c r="N20" s="206"/>
      <c r="O20" s="119"/>
      <c r="Q20" s="111"/>
    </row>
    <row r="21" spans="1:17">
      <c r="A21" s="114"/>
      <c r="B21" s="40"/>
      <c r="C21" s="182"/>
      <c r="D21" s="98"/>
      <c r="E21" s="205"/>
      <c r="F21" s="205"/>
      <c r="O21" s="119"/>
    </row>
    <row r="22" spans="1:17">
      <c r="A22" s="114"/>
      <c r="B22" s="40"/>
      <c r="C22" s="182"/>
      <c r="D22" s="205"/>
      <c r="E22" s="205"/>
      <c r="F22" s="205"/>
      <c r="G22" s="205"/>
      <c r="H22" s="205"/>
      <c r="I22" s="205"/>
      <c r="J22" s="210"/>
      <c r="K22" s="206"/>
      <c r="L22" s="206"/>
      <c r="M22" s="206"/>
      <c r="N22" s="206"/>
      <c r="O22" s="119"/>
      <c r="Q22" s="111"/>
    </row>
    <row r="23" spans="1:17">
      <c r="A23" s="114"/>
      <c r="B23" s="40"/>
      <c r="C23" s="182"/>
      <c r="D23" s="205"/>
      <c r="E23" s="205"/>
      <c r="F23" s="205"/>
      <c r="G23" s="205"/>
      <c r="H23" s="205"/>
      <c r="I23" s="205"/>
      <c r="J23" s="205"/>
      <c r="K23" s="206"/>
      <c r="L23" s="206"/>
      <c r="M23" s="206"/>
      <c r="N23" s="211"/>
      <c r="O23" s="119"/>
      <c r="Q23" s="111"/>
    </row>
    <row r="24" spans="1:17" ht="13">
      <c r="A24" s="114"/>
      <c r="B24" s="13"/>
      <c r="C24" s="212"/>
      <c r="D24" s="213"/>
      <c r="J24" s="205"/>
      <c r="K24" s="214"/>
      <c r="L24" s="214"/>
      <c r="M24" s="214"/>
      <c r="O24" s="119"/>
      <c r="Q24" s="111"/>
    </row>
    <row r="25" spans="1:17" ht="18" customHeight="1">
      <c r="A25" s="114"/>
      <c r="B25" s="198" t="s">
        <v>106</v>
      </c>
      <c r="C25" s="200"/>
      <c r="D25" s="905" t="s">
        <v>237</v>
      </c>
      <c r="E25" s="906"/>
      <c r="F25" s="907"/>
      <c r="G25" s="905" t="s">
        <v>527</v>
      </c>
      <c r="H25" s="906"/>
      <c r="I25" s="907"/>
      <c r="J25" s="215"/>
      <c r="K25" s="215"/>
      <c r="N25" s="111"/>
      <c r="O25" s="119"/>
    </row>
    <row r="26" spans="1:17" ht="36" customHeight="1">
      <c r="A26" s="114"/>
      <c r="B26" s="9"/>
      <c r="C26" s="9"/>
      <c r="D26" s="1" t="s">
        <v>107</v>
      </c>
      <c r="E26" s="1" t="s">
        <v>108</v>
      </c>
      <c r="F26" s="1" t="s">
        <v>109</v>
      </c>
      <c r="G26" s="1" t="s">
        <v>107</v>
      </c>
      <c r="H26" s="1" t="s">
        <v>108</v>
      </c>
      <c r="I26" s="1" t="s">
        <v>109</v>
      </c>
      <c r="J26" s="216"/>
      <c r="K26" s="216"/>
      <c r="L26" s="111"/>
      <c r="O26" s="119"/>
    </row>
    <row r="27" spans="1:17" ht="15" customHeight="1">
      <c r="A27" s="114"/>
      <c r="B27" s="933"/>
      <c r="C27" s="934"/>
      <c r="D27" s="15"/>
      <c r="E27" s="15"/>
      <c r="F27" s="15"/>
      <c r="G27" s="15"/>
      <c r="H27" s="15"/>
      <c r="I27" s="15"/>
      <c r="L27" s="111"/>
      <c r="O27" s="119"/>
    </row>
    <row r="28" spans="1:17" ht="13">
      <c r="A28" s="114"/>
      <c r="B28" s="931" t="s">
        <v>104</v>
      </c>
      <c r="C28" s="932"/>
      <c r="D28" s="808" t="str">
        <f>IF(VLOOKUP(B28,ratings,2,FALSE)="-",VLOOKUP(B28,ratings,3,FALSE),VLOOKUP(B28,ratings,2,FALSE))</f>
        <v>A3(cr)</v>
      </c>
      <c r="E28" s="808" t="str">
        <f>IF(VLOOKUP(B28,ratings,4,FALSE)="-",VLOOKUP(B28,ratings,5,FALSE),VLOOKUP(B28,ratings,4,FALSE))</f>
        <v>P-2(cr)</v>
      </c>
      <c r="F28" s="808" t="str">
        <f>VLOOKUP($B$28,ratings,6,FALSE)</f>
        <v>POS</v>
      </c>
      <c r="G28" s="808" t="str">
        <f>IF(VLOOKUP(B28,ratings,13,FALSE)="-",VLOOKUP(B28,ratings,14,FALSE),VLOOKUP(B28,ratings,13,FALSE))</f>
        <v>AH</v>
      </c>
      <c r="H28" s="808" t="str">
        <f>VLOOKUP($B$28,ratings,15,FALSE)</f>
        <v>R-1M</v>
      </c>
      <c r="I28" s="808" t="str">
        <f>VLOOKUP($B$28,ratings,16,FALSE)</f>
        <v>STABLE</v>
      </c>
      <c r="J28" s="81"/>
      <c r="K28" s="81"/>
      <c r="L28" s="111"/>
      <c r="O28" s="119"/>
    </row>
    <row r="29" spans="1:17" ht="12.75" customHeight="1">
      <c r="A29" s="114"/>
      <c r="B29" s="16"/>
      <c r="C29" s="17"/>
      <c r="D29" s="809"/>
      <c r="E29" s="809"/>
      <c r="F29" s="809"/>
      <c r="G29" s="809"/>
      <c r="H29" s="809"/>
      <c r="I29" s="809"/>
      <c r="O29" s="119"/>
    </row>
    <row r="30" spans="1:17" ht="13">
      <c r="A30" s="114"/>
      <c r="B30" s="931" t="s">
        <v>110</v>
      </c>
      <c r="C30" s="932"/>
      <c r="D30" s="808" t="str">
        <f>IF(VLOOKUP(B30,ratings,2,FALSE)="-",VLOOKUP(B30,ratings,3,FALSE),VLOOKUP(B30,ratings,2,FALSE))</f>
        <v>A3(cr)</v>
      </c>
      <c r="E30" s="808" t="str">
        <f>IF(VLOOKUP(B30,ratings,4,FALSE)="-",VLOOKUP(B30,ratings,5,FALSE),VLOOKUP(B30,ratings,4,FALSE))</f>
        <v>P-2(cr)</v>
      </c>
      <c r="F30" s="808" t="str">
        <f>VLOOKUP($B$30,ratings,6,FALSE)</f>
        <v>POS</v>
      </c>
      <c r="G30" s="808" t="str">
        <f>IF(VLOOKUP(B30,ratings,13,FALSE)="-",VLOOKUP(B30,ratings,14,FALSE),VLOOKUP(B30,ratings,13,FALSE))</f>
        <v>-</v>
      </c>
      <c r="H30" s="808" t="str">
        <f>VLOOKUP($B$30,ratings,15,FALSE)</f>
        <v>-</v>
      </c>
      <c r="I30" s="808" t="str">
        <f>VLOOKUP($B$30,ratings,16,FALSE)</f>
        <v>-</v>
      </c>
      <c r="J30" s="81"/>
      <c r="K30" s="81"/>
      <c r="O30" s="119"/>
    </row>
    <row r="31" spans="1:17" ht="13">
      <c r="A31" s="114"/>
      <c r="B31" s="217"/>
      <c r="C31" s="217"/>
      <c r="D31" s="808"/>
      <c r="E31" s="808"/>
      <c r="F31" s="808"/>
      <c r="G31" s="808"/>
      <c r="H31" s="808"/>
      <c r="I31" s="808"/>
      <c r="J31" s="81"/>
      <c r="K31" s="81"/>
      <c r="O31" s="119"/>
    </row>
    <row r="32" spans="1:17" ht="13">
      <c r="A32" s="114"/>
      <c r="B32" s="931" t="s">
        <v>194</v>
      </c>
      <c r="C32" s="932"/>
      <c r="D32" s="808" t="str">
        <f>IF(VLOOKUP(B32,ratings,2,FALSE)="-",VLOOKUP(B32,ratings,3,FALSE),VLOOKUP(B32,ratings,2,FALSE))</f>
        <v>A1(cr)</v>
      </c>
      <c r="E32" s="808" t="str">
        <f>IF(VLOOKUP(B32,ratings,4,FALSE)="-",VLOOKUP(B32,ratings,5,FALSE),VLOOKUP(B32,ratings,4,FALSE))</f>
        <v>P-1(cr)</v>
      </c>
      <c r="F32" s="808" t="str">
        <f>VLOOKUP($B$32,ratings,6,FALSE)</f>
        <v>STABLE</v>
      </c>
      <c r="G32" s="808" t="str">
        <f>IF(VLOOKUP(B32,ratings,13,FALSE)="-",VLOOKUP(B32,ratings,14,FALSE),VLOOKUP(B32,ratings,13,FALSE))</f>
        <v>-</v>
      </c>
      <c r="H32" s="808" t="str">
        <f>VLOOKUP($B$32,ratings,15,FALSE)</f>
        <v>-</v>
      </c>
      <c r="I32" s="808" t="str">
        <f>VLOOKUP($B$32,ratings,16,FALSE)</f>
        <v>-</v>
      </c>
      <c r="J32" s="81"/>
      <c r="K32" s="81"/>
      <c r="O32" s="119"/>
    </row>
    <row r="33" spans="1:15" ht="15.5">
      <c r="A33" s="114"/>
      <c r="B33" s="218"/>
      <c r="D33" s="19"/>
      <c r="E33" s="19"/>
      <c r="F33" s="19"/>
      <c r="G33" s="19"/>
      <c r="H33" s="19"/>
      <c r="I33" s="19"/>
      <c r="J33" s="9"/>
      <c r="K33" s="9"/>
      <c r="O33" s="119"/>
    </row>
    <row r="34" spans="1:15" ht="15.5">
      <c r="A34" s="114"/>
      <c r="B34" s="14"/>
      <c r="D34" s="9"/>
      <c r="E34" s="9"/>
      <c r="F34" s="9"/>
      <c r="G34" s="9"/>
      <c r="H34" s="9"/>
      <c r="I34" s="9"/>
      <c r="J34" s="9"/>
      <c r="K34" s="9"/>
      <c r="L34" s="9"/>
      <c r="M34" s="9"/>
      <c r="N34" s="9"/>
      <c r="O34" s="119"/>
    </row>
    <row r="35" spans="1:15" ht="15.5">
      <c r="A35" s="114"/>
      <c r="C35" s="12"/>
      <c r="D35" s="9"/>
      <c r="E35" s="9"/>
      <c r="F35" s="9"/>
      <c r="G35" s="9"/>
      <c r="H35" s="9"/>
      <c r="I35" s="9"/>
      <c r="J35" s="9"/>
      <c r="K35" s="9"/>
      <c r="L35" s="9"/>
      <c r="M35" s="9"/>
      <c r="N35" s="9"/>
      <c r="O35" s="119"/>
    </row>
    <row r="36" spans="1:15" ht="15.5">
      <c r="A36" s="150"/>
      <c r="B36" s="51" t="str">
        <f>VLOOKUP("RatingDate",ratings,17,0)</f>
        <v>Ratings as of 31.08.2025, data source: Bloomberg</v>
      </c>
      <c r="C36" s="10"/>
      <c r="D36" s="11"/>
      <c r="E36" s="11"/>
      <c r="F36" s="11"/>
      <c r="G36" s="11"/>
      <c r="H36" s="11"/>
      <c r="I36" s="11"/>
      <c r="J36" s="11"/>
      <c r="K36" s="11"/>
      <c r="L36" s="11"/>
      <c r="M36" s="11"/>
      <c r="N36" s="11"/>
      <c r="O36" s="152"/>
    </row>
    <row r="37" spans="1:15" ht="15.5">
      <c r="C37" s="12"/>
      <c r="D37" s="9"/>
      <c r="E37" s="9"/>
      <c r="F37" s="9"/>
      <c r="G37" s="9"/>
      <c r="H37" s="9"/>
      <c r="I37" s="9"/>
      <c r="J37" s="9"/>
      <c r="K37" s="9"/>
      <c r="L37" s="9"/>
      <c r="M37" s="9"/>
      <c r="N37" s="9"/>
    </row>
    <row r="38" spans="1:15" ht="15.5">
      <c r="C38" s="12"/>
      <c r="D38" s="9"/>
      <c r="E38" s="9"/>
      <c r="F38" s="9"/>
      <c r="G38" s="9"/>
      <c r="H38" s="9"/>
      <c r="I38" s="9"/>
      <c r="J38" s="9"/>
      <c r="K38" s="9"/>
      <c r="L38" s="9"/>
      <c r="M38" s="9"/>
      <c r="N38" s="9"/>
    </row>
    <row r="39" spans="1:15" ht="15.5">
      <c r="C39" s="12"/>
      <c r="D39" s="9"/>
      <c r="E39" s="9"/>
      <c r="F39" s="9"/>
      <c r="G39" s="9"/>
      <c r="H39" s="9"/>
      <c r="I39" s="9"/>
      <c r="J39" s="9"/>
      <c r="K39" s="9"/>
      <c r="L39" s="9"/>
      <c r="M39" s="9"/>
      <c r="N39" s="9"/>
    </row>
    <row r="40" spans="1:15">
      <c r="B40" s="13"/>
      <c r="C40" s="12"/>
      <c r="D40" s="184"/>
      <c r="E40" s="12"/>
      <c r="F40" s="185"/>
      <c r="G40" s="186"/>
      <c r="H40" s="185"/>
      <c r="I40" s="111"/>
    </row>
    <row r="41" spans="1:15">
      <c r="B41" s="13"/>
      <c r="C41" s="12"/>
      <c r="D41" s="184"/>
      <c r="E41" s="12"/>
      <c r="F41" s="185"/>
      <c r="G41" s="186"/>
      <c r="H41" s="185"/>
      <c r="I41" s="111"/>
    </row>
    <row r="42" spans="1:15">
      <c r="B42" s="13"/>
      <c r="C42" s="12"/>
      <c r="D42" s="184"/>
      <c r="E42" s="12"/>
      <c r="F42" s="185"/>
      <c r="G42" s="186"/>
      <c r="H42" s="185"/>
      <c r="I42" s="111"/>
    </row>
    <row r="43" spans="1:15">
      <c r="B43" s="13"/>
      <c r="C43" s="12"/>
      <c r="D43" s="184"/>
      <c r="E43" s="12"/>
      <c r="F43" s="185"/>
      <c r="G43" s="186"/>
      <c r="H43" s="185"/>
      <c r="I43" s="111"/>
    </row>
    <row r="44" spans="1:15">
      <c r="B44" s="13"/>
      <c r="C44" s="12"/>
      <c r="D44" s="184"/>
      <c r="E44" s="12"/>
      <c r="F44" s="185"/>
      <c r="G44" s="186"/>
      <c r="H44" s="185"/>
      <c r="I44" s="111"/>
    </row>
    <row r="45" spans="1:15">
      <c r="B45" s="13"/>
      <c r="C45" s="12"/>
      <c r="D45" s="184"/>
      <c r="E45" s="12"/>
      <c r="F45" s="185"/>
      <c r="G45" s="186"/>
      <c r="H45" s="185"/>
      <c r="I45" s="111"/>
    </row>
    <row r="46" spans="1:15">
      <c r="B46" s="13"/>
      <c r="C46" s="12"/>
      <c r="D46" s="184"/>
      <c r="E46" s="12"/>
      <c r="F46" s="185"/>
      <c r="G46" s="186"/>
      <c r="H46" s="185"/>
      <c r="I46" s="111"/>
    </row>
    <row r="47" spans="1:15">
      <c r="B47" s="13"/>
      <c r="C47" s="12"/>
      <c r="D47" s="184"/>
      <c r="E47" s="12"/>
      <c r="F47" s="185"/>
      <c r="G47" s="186"/>
      <c r="H47" s="185"/>
      <c r="I47" s="111"/>
    </row>
    <row r="48" spans="1:15">
      <c r="B48" s="13"/>
      <c r="C48" s="12"/>
      <c r="D48" s="184"/>
      <c r="E48" s="12"/>
      <c r="F48" s="185"/>
      <c r="G48" s="186"/>
      <c r="H48" s="185"/>
      <c r="I48" s="111"/>
    </row>
    <row r="49" spans="2:9">
      <c r="B49" s="13"/>
      <c r="C49" s="12"/>
      <c r="D49" s="184"/>
      <c r="E49" s="12"/>
      <c r="F49" s="185"/>
      <c r="G49" s="186"/>
      <c r="H49" s="185"/>
      <c r="I49" s="111"/>
    </row>
    <row r="50" spans="2:9">
      <c r="B50" s="13"/>
      <c r="C50" s="12"/>
      <c r="D50" s="184"/>
      <c r="E50" s="12"/>
      <c r="F50" s="185"/>
      <c r="G50" s="186"/>
      <c r="H50" s="185"/>
      <c r="I50" s="111"/>
    </row>
    <row r="51" spans="2:9">
      <c r="B51" s="13"/>
      <c r="C51" s="12"/>
      <c r="D51" s="184"/>
      <c r="E51" s="12"/>
      <c r="F51" s="185"/>
      <c r="G51" s="186"/>
      <c r="H51" s="185"/>
      <c r="I51" s="111"/>
    </row>
    <row r="52" spans="2:9">
      <c r="B52" s="13"/>
      <c r="C52" s="12"/>
      <c r="D52" s="184"/>
      <c r="E52" s="12"/>
      <c r="F52" s="185"/>
      <c r="G52" s="186"/>
      <c r="H52" s="185"/>
      <c r="I52" s="111"/>
    </row>
    <row r="53" spans="2:9">
      <c r="B53" s="13"/>
      <c r="C53" s="12"/>
      <c r="D53" s="184"/>
      <c r="E53" s="12"/>
      <c r="F53" s="185"/>
      <c r="G53" s="186"/>
      <c r="H53" s="185"/>
      <c r="I53" s="111"/>
    </row>
    <row r="54" spans="2:9">
      <c r="B54" s="13"/>
      <c r="C54" s="12"/>
      <c r="D54" s="184"/>
      <c r="E54" s="12"/>
      <c r="F54" s="185"/>
      <c r="G54" s="186"/>
      <c r="H54" s="185"/>
      <c r="I54" s="111"/>
    </row>
    <row r="55" spans="2:9" ht="15.5">
      <c r="B55" s="14"/>
      <c r="C55" s="12"/>
      <c r="D55" s="184"/>
      <c r="E55" s="12"/>
      <c r="F55" s="185"/>
      <c r="G55" s="186"/>
      <c r="H55" s="185"/>
      <c r="I55" s="111"/>
    </row>
    <row r="56" spans="2:9" ht="15.5">
      <c r="B56" s="14"/>
      <c r="C56" s="12"/>
      <c r="D56" s="187"/>
      <c r="E56" s="188"/>
      <c r="F56" s="219"/>
      <c r="G56" s="190"/>
      <c r="H56" s="219"/>
      <c r="I56" s="111"/>
    </row>
    <row r="57" spans="2:9" ht="15.5">
      <c r="B57" s="14"/>
      <c r="C57" s="12"/>
      <c r="D57" s="187"/>
      <c r="E57" s="187"/>
      <c r="F57" s="187"/>
      <c r="G57" s="187"/>
      <c r="H57" s="187"/>
      <c r="I57" s="111"/>
    </row>
    <row r="58" spans="2:9" ht="15.5">
      <c r="B58" s="14"/>
      <c r="C58" s="12"/>
      <c r="D58" s="187"/>
      <c r="E58" s="187"/>
      <c r="F58" s="187"/>
      <c r="G58" s="187"/>
      <c r="H58" s="187"/>
      <c r="I58" s="111"/>
    </row>
    <row r="59" spans="2:9" ht="15.5">
      <c r="B59" s="14"/>
      <c r="C59" s="12"/>
      <c r="D59" s="191"/>
      <c r="E59" s="220"/>
      <c r="F59" s="187"/>
      <c r="G59" s="187"/>
      <c r="H59" s="187"/>
      <c r="I59" s="111"/>
    </row>
    <row r="60" spans="2:9">
      <c r="B60" s="13"/>
      <c r="C60" s="12"/>
      <c r="D60" s="188"/>
      <c r="E60" s="220"/>
      <c r="F60" s="187"/>
      <c r="G60" s="187"/>
      <c r="H60" s="187"/>
      <c r="I60" s="111"/>
    </row>
    <row r="61" spans="2:9">
      <c r="B61" s="13"/>
      <c r="C61" s="12"/>
      <c r="D61" s="187"/>
      <c r="E61" s="220"/>
      <c r="F61" s="187"/>
      <c r="G61" s="187"/>
      <c r="H61" s="187"/>
      <c r="I61" s="111"/>
    </row>
    <row r="62" spans="2:9" ht="14">
      <c r="B62" s="187"/>
      <c r="C62" s="188"/>
      <c r="D62" s="193"/>
      <c r="E62" s="193"/>
      <c r="F62" s="193"/>
      <c r="G62" s="193"/>
      <c r="H62" s="193"/>
      <c r="I62" s="111"/>
    </row>
    <row r="63" spans="2:9" ht="14">
      <c r="D63" s="193"/>
      <c r="E63" s="193"/>
      <c r="F63" s="193"/>
      <c r="G63" s="193"/>
      <c r="H63" s="193"/>
      <c r="I63" s="111"/>
    </row>
    <row r="64" spans="2:9" ht="14">
      <c r="D64" s="194"/>
      <c r="E64" s="221"/>
      <c r="F64" s="193"/>
      <c r="G64" s="193"/>
      <c r="H64" s="193"/>
      <c r="I64" s="111"/>
    </row>
    <row r="65" spans="2:9" ht="14">
      <c r="B65" s="191"/>
      <c r="C65" s="220"/>
      <c r="D65" s="196"/>
      <c r="E65" s="221"/>
      <c r="F65" s="193"/>
      <c r="G65" s="193"/>
      <c r="H65" s="193"/>
      <c r="I65" s="111"/>
    </row>
    <row r="66" spans="2:9" ht="14">
      <c r="B66" s="197"/>
      <c r="C66" s="220"/>
      <c r="D66" s="193"/>
      <c r="E66" s="221"/>
      <c r="F66" s="193"/>
      <c r="G66" s="193"/>
      <c r="H66" s="193"/>
      <c r="I66" s="111"/>
    </row>
    <row r="67" spans="2:9">
      <c r="C67" s="220"/>
      <c r="I67" s="111"/>
    </row>
    <row r="68" spans="2:9">
      <c r="I68" s="111"/>
    </row>
    <row r="69" spans="2:9">
      <c r="I69" s="111"/>
    </row>
    <row r="70" spans="2:9">
      <c r="I70" s="111"/>
    </row>
    <row r="71" spans="2:9">
      <c r="I71" s="111"/>
    </row>
    <row r="72" spans="2:9">
      <c r="I72" s="111"/>
    </row>
    <row r="73" spans="2:9">
      <c r="I73" s="111"/>
    </row>
    <row r="74" spans="2:9">
      <c r="I74" s="111"/>
    </row>
    <row r="75" spans="2:9">
      <c r="I75" s="111"/>
    </row>
    <row r="76" spans="2:9">
      <c r="I76" s="111"/>
    </row>
    <row r="77" spans="2:9">
      <c r="I77" s="111"/>
    </row>
    <row r="78" spans="2:9">
      <c r="I78" s="111"/>
    </row>
    <row r="79" spans="2:9">
      <c r="I79" s="111"/>
    </row>
    <row r="80" spans="2:9">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sheetData>
  <mergeCells count="12">
    <mergeCell ref="G25:I25"/>
    <mergeCell ref="B32:C32"/>
    <mergeCell ref="B30:C30"/>
    <mergeCell ref="B28:C28"/>
    <mergeCell ref="D25:F25"/>
    <mergeCell ref="B27:C27"/>
    <mergeCell ref="E6:F6"/>
    <mergeCell ref="E7:F7"/>
    <mergeCell ref="E2:F2"/>
    <mergeCell ref="E3:F3"/>
    <mergeCell ref="E4:F4"/>
    <mergeCell ref="E5:F5"/>
  </mergeCells>
  <phoneticPr fontId="3" type="noConversion"/>
  <pageMargins left="0.70866141732283472" right="0.70866141732283472" top="0.78740157480314965" bottom="0.78740157480314965" header="0.31496062992125984" footer="0.31496062992125984"/>
  <pageSetup paperSize="9" scale="73"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23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8" customWidth="1"/>
    <col min="2" max="2" width="40.54296875" style="18" customWidth="1"/>
    <col min="3" max="3" width="8.81640625" style="18" customWidth="1"/>
    <col min="4" max="4" width="7.1796875" style="18" customWidth="1"/>
    <col min="5" max="5" width="12.1796875" style="18" customWidth="1"/>
    <col min="6" max="6" width="10.1796875" style="18" customWidth="1"/>
    <col min="7" max="7" width="10.81640625" style="18" customWidth="1"/>
    <col min="8" max="8" width="14.81640625" style="18" customWidth="1"/>
    <col min="9" max="9" width="13" style="18" customWidth="1"/>
    <col min="10" max="10" width="16.1796875" style="18" customWidth="1"/>
    <col min="11" max="11" width="13" style="18" customWidth="1"/>
    <col min="12" max="12" width="15.1796875" style="18" customWidth="1"/>
    <col min="13" max="13" width="8" style="18" customWidth="1"/>
    <col min="14" max="14" width="22.81640625" style="18" customWidth="1"/>
    <col min="15" max="16384" width="9.1796875" style="18"/>
  </cols>
  <sheetData>
    <row r="1" spans="1:16" ht="6" customHeight="1">
      <c r="A1" s="112"/>
      <c r="B1" s="44"/>
      <c r="C1" s="44"/>
      <c r="D1" s="44"/>
      <c r="E1" s="44"/>
      <c r="F1" s="44"/>
      <c r="G1" s="44"/>
      <c r="H1" s="44"/>
      <c r="I1" s="44"/>
      <c r="J1" s="44"/>
      <c r="K1" s="44"/>
      <c r="L1" s="44"/>
      <c r="M1" s="44"/>
      <c r="N1" s="113"/>
    </row>
    <row r="2" spans="1:16" ht="18">
      <c r="A2" s="114"/>
      <c r="B2" s="42" t="str">
        <f>'Cover Sheet'!B2</f>
        <v>SC Germany Consumer 2024-1</v>
      </c>
      <c r="C2" s="42"/>
      <c r="E2" s="935" t="str">
        <f>'Cover Sheet'!D2</f>
        <v>Calculation Date</v>
      </c>
      <c r="F2" s="928"/>
      <c r="G2" s="116"/>
      <c r="H2" s="117">
        <f>'Cover Sheet'!F2</f>
        <v>45911</v>
      </c>
      <c r="I2" s="155"/>
      <c r="J2" s="116"/>
      <c r="K2" s="116"/>
      <c r="L2" s="118"/>
      <c r="M2" s="9"/>
      <c r="N2" s="119"/>
    </row>
    <row r="3" spans="1:16" ht="18">
      <c r="A3" s="114"/>
      <c r="B3" s="42" t="str">
        <f>'Cover Sheet'!B3</f>
        <v>Monthly Investor Report</v>
      </c>
      <c r="C3" s="42"/>
      <c r="E3" s="936" t="s">
        <v>2</v>
      </c>
      <c r="F3" s="937"/>
      <c r="G3" s="123"/>
      <c r="H3" s="123">
        <f>'Cover Sheet'!F3</f>
        <v>45915</v>
      </c>
      <c r="I3" s="156"/>
      <c r="J3" s="122"/>
      <c r="K3" s="122"/>
      <c r="L3" s="124"/>
      <c r="M3" s="9"/>
      <c r="N3" s="119"/>
    </row>
    <row r="4" spans="1:16" ht="15.5">
      <c r="A4" s="114"/>
      <c r="B4" s="120"/>
      <c r="C4" s="99"/>
      <c r="E4" s="936" t="s">
        <v>3</v>
      </c>
      <c r="F4" s="937"/>
      <c r="G4" s="126"/>
      <c r="H4" s="126">
        <f>'Cover Sheet'!F4</f>
        <v>16</v>
      </c>
      <c r="I4" s="157"/>
      <c r="J4" s="127"/>
      <c r="K4" s="122"/>
      <c r="L4" s="128"/>
      <c r="M4" s="9"/>
      <c r="N4" s="119"/>
    </row>
    <row r="5" spans="1:16" ht="18">
      <c r="A5" s="114"/>
      <c r="B5" s="129" t="s">
        <v>359</v>
      </c>
      <c r="C5" s="129"/>
      <c r="E5" s="936" t="s">
        <v>1</v>
      </c>
      <c r="F5" s="937"/>
      <c r="G5" s="158"/>
      <c r="H5" s="130">
        <f>'Cover Sheet'!F5</f>
        <v>45915</v>
      </c>
      <c r="I5" s="122"/>
      <c r="J5" s="127"/>
      <c r="K5" s="122"/>
      <c r="L5" s="128"/>
      <c r="M5" s="9"/>
      <c r="N5" s="119"/>
    </row>
    <row r="6" spans="1:16" ht="15" customHeight="1">
      <c r="A6" s="114"/>
      <c r="B6" s="131"/>
      <c r="C6" s="120"/>
      <c r="E6" s="923" t="s">
        <v>51</v>
      </c>
      <c r="F6" s="924"/>
      <c r="G6" s="123" t="s">
        <v>34</v>
      </c>
      <c r="H6" s="123">
        <f>'Cover Sheet'!F6</f>
        <v>45883</v>
      </c>
      <c r="I6" s="123" t="s">
        <v>4</v>
      </c>
      <c r="J6" s="123">
        <f>'Cover Sheet'!$H$6</f>
        <v>45915</v>
      </c>
      <c r="K6" s="123" t="s">
        <v>15</v>
      </c>
      <c r="L6" s="159" t="str">
        <f>'Cover Sheet'!$J$6</f>
        <v>32 days</v>
      </c>
      <c r="M6" s="9"/>
      <c r="N6" s="160"/>
    </row>
    <row r="7" spans="1:16" ht="15.5">
      <c r="A7" s="114"/>
      <c r="D7" s="99"/>
      <c r="E7" s="925" t="s">
        <v>111</v>
      </c>
      <c r="F7" s="926"/>
      <c r="G7" s="138" t="s">
        <v>34</v>
      </c>
      <c r="H7" s="138" t="str">
        <f>'Cover Sheet'!F7</f>
        <v>01.08.2025</v>
      </c>
      <c r="I7" s="138" t="s">
        <v>4</v>
      </c>
      <c r="J7" s="138">
        <f>'Cover Sheet'!H7</f>
        <v>45900</v>
      </c>
      <c r="K7" s="161"/>
      <c r="L7" s="162"/>
      <c r="M7" s="9"/>
      <c r="N7" s="119"/>
    </row>
    <row r="8" spans="1:16" ht="13">
      <c r="A8" s="114"/>
      <c r="E8" s="142"/>
      <c r="F8" s="81"/>
      <c r="G8" s="142"/>
      <c r="I8" s="163"/>
      <c r="K8" s="143"/>
      <c r="N8" s="119"/>
    </row>
    <row r="9" spans="1:16" ht="13">
      <c r="A9" s="114"/>
      <c r="N9" s="164"/>
    </row>
    <row r="10" spans="1:16">
      <c r="A10" s="114"/>
      <c r="F10" s="111"/>
      <c r="N10" s="119"/>
    </row>
    <row r="11" spans="1:16" ht="12.75" customHeight="1">
      <c r="A11" s="114"/>
      <c r="B11" s="165"/>
      <c r="D11" s="9"/>
      <c r="E11" s="9"/>
      <c r="F11" s="9"/>
      <c r="G11" s="9"/>
      <c r="H11" s="9"/>
      <c r="I11" s="9"/>
      <c r="J11" s="9"/>
      <c r="K11" s="9"/>
      <c r="L11" s="9"/>
      <c r="M11" s="9"/>
      <c r="N11" s="166"/>
    </row>
    <row r="12" spans="1:16" ht="12.75" customHeight="1">
      <c r="A12" s="114"/>
      <c r="B12" s="165"/>
      <c r="D12" s="9"/>
      <c r="E12" s="9"/>
      <c r="F12" s="9"/>
      <c r="G12" s="9"/>
      <c r="H12" s="9"/>
      <c r="I12" s="9"/>
      <c r="J12" s="9"/>
      <c r="K12" s="9"/>
      <c r="L12" s="9"/>
      <c r="M12" s="9"/>
      <c r="N12" s="166"/>
    </row>
    <row r="13" spans="1:16" ht="12.75" customHeight="1">
      <c r="A13" s="114"/>
      <c r="B13" s="165"/>
      <c r="C13" s="165"/>
      <c r="D13" s="165"/>
      <c r="E13" s="165"/>
      <c r="F13" s="9"/>
      <c r="G13" s="9"/>
      <c r="H13" s="9"/>
      <c r="I13" s="9"/>
      <c r="J13" s="9"/>
      <c r="K13" s="9"/>
      <c r="L13" s="9"/>
      <c r="M13" s="9"/>
      <c r="N13" s="166"/>
    </row>
    <row r="14" spans="1:16" ht="12.75" customHeight="1">
      <c r="A14" s="114"/>
      <c r="B14" s="165"/>
      <c r="C14" s="165"/>
      <c r="D14" s="165"/>
      <c r="E14" s="165"/>
      <c r="F14" s="167"/>
      <c r="G14" s="167"/>
      <c r="H14" s="167"/>
      <c r="I14" s="167"/>
      <c r="J14" s="168"/>
      <c r="K14" s="168"/>
      <c r="L14" s="111"/>
      <c r="M14" s="111"/>
      <c r="N14" s="119"/>
      <c r="P14" s="111"/>
    </row>
    <row r="15" spans="1:16" ht="13.5" customHeight="1">
      <c r="A15" s="114"/>
      <c r="B15" s="21" t="s">
        <v>204</v>
      </c>
      <c r="C15" s="22"/>
      <c r="D15" s="65" t="s">
        <v>205</v>
      </c>
      <c r="E15" s="65"/>
      <c r="F15" s="71"/>
      <c r="G15" s="169"/>
      <c r="H15" s="169"/>
      <c r="I15" s="169"/>
      <c r="J15" s="169"/>
      <c r="K15" s="170"/>
      <c r="L15" s="171"/>
      <c r="M15" s="171"/>
      <c r="N15" s="172"/>
      <c r="P15" s="111"/>
    </row>
    <row r="16" spans="1:16">
      <c r="A16" s="114"/>
      <c r="B16" s="22"/>
      <c r="C16" s="22"/>
      <c r="D16" s="65" t="s">
        <v>206</v>
      </c>
      <c r="E16" s="65"/>
      <c r="F16" s="173"/>
      <c r="G16" s="72"/>
      <c r="H16" s="72"/>
      <c r="I16" s="72"/>
      <c r="J16" s="72"/>
      <c r="K16" s="174"/>
      <c r="L16" s="174"/>
      <c r="M16" s="174"/>
      <c r="N16" s="172"/>
      <c r="P16" s="111"/>
    </row>
    <row r="17" spans="1:16">
      <c r="A17" s="114"/>
      <c r="B17" s="22"/>
      <c r="C17" s="22"/>
      <c r="D17" s="65"/>
      <c r="E17" s="65"/>
      <c r="F17" s="72"/>
      <c r="G17" s="72"/>
      <c r="H17" s="72"/>
      <c r="I17" s="72"/>
      <c r="J17" s="72"/>
      <c r="K17" s="174"/>
      <c r="L17" s="174"/>
      <c r="M17" s="174"/>
      <c r="N17" s="172"/>
      <c r="P17" s="111"/>
    </row>
    <row r="18" spans="1:16" ht="13">
      <c r="A18" s="114"/>
      <c r="B18" s="21" t="s">
        <v>207</v>
      </c>
      <c r="C18" s="22"/>
      <c r="D18" s="65" t="s">
        <v>208</v>
      </c>
      <c r="E18" s="65"/>
      <c r="F18" s="72"/>
      <c r="G18" s="72"/>
      <c r="H18" s="72"/>
      <c r="I18" s="72"/>
      <c r="J18" s="72"/>
      <c r="K18" s="174"/>
      <c r="L18" s="174"/>
      <c r="M18" s="174"/>
      <c r="N18" s="172"/>
      <c r="P18" s="111"/>
    </row>
    <row r="19" spans="1:16" ht="13">
      <c r="A19" s="114"/>
      <c r="B19" s="21"/>
      <c r="C19" s="22"/>
      <c r="D19" s="65" t="s">
        <v>209</v>
      </c>
      <c r="E19" s="65"/>
      <c r="F19" s="72"/>
      <c r="G19" s="72"/>
      <c r="H19" s="72"/>
      <c r="I19" s="72"/>
      <c r="J19" s="72"/>
      <c r="K19" s="174"/>
      <c r="L19" s="174"/>
      <c r="M19" s="174"/>
      <c r="N19" s="172"/>
      <c r="P19" s="111"/>
    </row>
    <row r="20" spans="1:16" ht="13">
      <c r="A20" s="114"/>
      <c r="B20" s="21"/>
      <c r="C20" s="22"/>
      <c r="D20" s="65"/>
      <c r="E20" s="65"/>
      <c r="F20" s="72"/>
      <c r="G20" s="72"/>
      <c r="H20" s="72"/>
      <c r="I20" s="72"/>
      <c r="J20" s="72"/>
      <c r="K20" s="174"/>
      <c r="L20" s="174"/>
      <c r="M20" s="174"/>
      <c r="N20" s="172"/>
      <c r="P20" s="111"/>
    </row>
    <row r="21" spans="1:16" ht="15.75" customHeight="1">
      <c r="A21" s="114"/>
      <c r="B21" s="21" t="s">
        <v>210</v>
      </c>
      <c r="C21" s="22"/>
      <c r="D21" s="22" t="s">
        <v>211</v>
      </c>
      <c r="E21" s="65"/>
      <c r="F21" s="175"/>
      <c r="G21" s="175"/>
      <c r="H21" s="175"/>
      <c r="I21" s="175"/>
      <c r="J21" s="72"/>
      <c r="K21" s="174"/>
      <c r="L21" s="174"/>
      <c r="M21" s="174"/>
      <c r="N21" s="172"/>
      <c r="P21" s="111"/>
    </row>
    <row r="22" spans="1:16" ht="13">
      <c r="A22" s="114"/>
      <c r="B22" s="21"/>
      <c r="C22" s="22"/>
      <c r="D22" s="65"/>
      <c r="E22" s="65"/>
      <c r="F22" s="72"/>
      <c r="G22" s="72"/>
      <c r="H22" s="72"/>
      <c r="I22" s="72"/>
      <c r="J22" s="176"/>
      <c r="K22" s="174"/>
      <c r="L22" s="174"/>
      <c r="M22" s="174"/>
      <c r="N22" s="172"/>
      <c r="P22" s="111"/>
    </row>
    <row r="23" spans="1:16" ht="13">
      <c r="A23" s="114"/>
      <c r="B23" s="21" t="s">
        <v>212</v>
      </c>
      <c r="C23" s="22"/>
      <c r="D23" s="65" t="s">
        <v>813</v>
      </c>
      <c r="E23" s="65"/>
      <c r="F23" s="177"/>
      <c r="G23" s="177"/>
      <c r="H23" s="177"/>
      <c r="I23" s="177"/>
      <c r="J23" s="177"/>
      <c r="K23" s="177"/>
      <c r="L23" s="177"/>
      <c r="M23" s="177"/>
      <c r="N23" s="172"/>
      <c r="P23" s="111"/>
    </row>
    <row r="24" spans="1:16" ht="12.75" customHeight="1">
      <c r="A24" s="114"/>
      <c r="B24" s="21"/>
      <c r="C24" s="22"/>
      <c r="D24" s="65"/>
      <c r="E24" s="65"/>
      <c r="F24" s="177"/>
      <c r="G24" s="177"/>
      <c r="H24" s="177"/>
      <c r="I24" s="177"/>
      <c r="J24" s="177"/>
      <c r="K24" s="177"/>
      <c r="L24" s="177"/>
      <c r="M24" s="177"/>
      <c r="N24" s="172"/>
      <c r="P24" s="111"/>
    </row>
    <row r="25" spans="1:16" ht="12.75" customHeight="1">
      <c r="A25" s="114"/>
      <c r="B25" s="21" t="s">
        <v>213</v>
      </c>
      <c r="C25" s="22"/>
      <c r="D25" s="65" t="s">
        <v>214</v>
      </c>
      <c r="E25" s="65"/>
      <c r="F25" s="177"/>
      <c r="G25" s="177"/>
      <c r="H25" s="177"/>
      <c r="I25" s="177"/>
      <c r="J25" s="177"/>
      <c r="K25" s="177"/>
      <c r="L25" s="177"/>
      <c r="M25" s="177"/>
      <c r="N25" s="178"/>
    </row>
    <row r="26" spans="1:16" ht="12.75" customHeight="1">
      <c r="A26" s="114"/>
      <c r="B26" s="21"/>
      <c r="C26" s="22"/>
      <c r="D26" s="65"/>
      <c r="E26" s="65"/>
      <c r="F26" s="177"/>
      <c r="G26" s="177"/>
      <c r="H26" s="177"/>
      <c r="I26" s="177"/>
      <c r="J26" s="177"/>
      <c r="K26" s="177"/>
      <c r="L26" s="177"/>
      <c r="M26" s="177"/>
      <c r="N26" s="178"/>
    </row>
    <row r="27" spans="1:16" ht="12.75" customHeight="1">
      <c r="A27" s="114"/>
      <c r="B27" s="21" t="s">
        <v>215</v>
      </c>
      <c r="C27" s="22"/>
      <c r="D27" s="22" t="s">
        <v>814</v>
      </c>
      <c r="E27" s="65"/>
      <c r="F27" s="177"/>
      <c r="G27" s="177"/>
      <c r="H27" s="177"/>
      <c r="I27" s="179"/>
      <c r="J27" s="177"/>
      <c r="K27" s="177"/>
      <c r="L27" s="177"/>
      <c r="M27" s="177"/>
      <c r="N27" s="178"/>
    </row>
    <row r="28" spans="1:16" ht="12.75" customHeight="1">
      <c r="A28" s="114"/>
      <c r="B28" s="21"/>
      <c r="C28" s="22"/>
      <c r="D28" s="65"/>
      <c r="E28" s="65"/>
      <c r="F28" s="177"/>
      <c r="G28" s="177"/>
      <c r="H28" s="177"/>
      <c r="I28" s="177"/>
      <c r="J28" s="177"/>
      <c r="K28" s="177"/>
      <c r="L28" s="177"/>
      <c r="M28" s="177"/>
      <c r="N28" s="178"/>
    </row>
    <row r="29" spans="1:16" ht="12.75" customHeight="1">
      <c r="A29" s="114"/>
      <c r="B29" s="21" t="s">
        <v>216</v>
      </c>
      <c r="C29" s="22"/>
      <c r="D29" s="65" t="s">
        <v>217</v>
      </c>
      <c r="E29" s="65"/>
      <c r="F29" s="177"/>
      <c r="G29" s="177"/>
      <c r="H29" s="177"/>
      <c r="I29" s="177"/>
      <c r="J29" s="177"/>
      <c r="K29" s="177"/>
      <c r="L29" s="177"/>
      <c r="M29" s="177"/>
      <c r="N29" s="178"/>
    </row>
    <row r="30" spans="1:16" ht="12.75" customHeight="1">
      <c r="A30" s="114"/>
      <c r="B30" s="22"/>
      <c r="C30" s="22"/>
      <c r="D30" s="65" t="s">
        <v>815</v>
      </c>
      <c r="E30" s="65"/>
      <c r="F30" s="177"/>
      <c r="G30" s="177"/>
      <c r="H30" s="177"/>
      <c r="I30" s="177"/>
      <c r="J30" s="177"/>
      <c r="K30" s="177"/>
      <c r="L30" s="177"/>
      <c r="M30" s="177"/>
      <c r="N30" s="178"/>
    </row>
    <row r="31" spans="1:16" ht="12.75" customHeight="1">
      <c r="A31" s="114"/>
      <c r="B31" s="22"/>
      <c r="C31" s="22"/>
      <c r="D31" s="65"/>
      <c r="E31" s="65"/>
      <c r="F31" s="177"/>
      <c r="G31" s="177"/>
      <c r="H31" s="177"/>
      <c r="I31" s="177"/>
      <c r="J31" s="177"/>
      <c r="K31" s="177"/>
      <c r="L31" s="177"/>
      <c r="M31" s="177"/>
      <c r="N31" s="178"/>
    </row>
    <row r="32" spans="1:16" ht="12.75" customHeight="1">
      <c r="A32" s="114"/>
      <c r="B32" s="21" t="s">
        <v>218</v>
      </c>
      <c r="C32" s="22"/>
      <c r="D32" s="65" t="s">
        <v>816</v>
      </c>
      <c r="E32" s="180"/>
      <c r="F32" s="177"/>
      <c r="G32" s="177"/>
      <c r="H32" s="69"/>
      <c r="I32" s="69"/>
      <c r="J32" s="69"/>
      <c r="K32" s="69"/>
      <c r="L32" s="69"/>
      <c r="M32" s="69"/>
      <c r="N32" s="172"/>
    </row>
    <row r="33" spans="1:14" ht="12.75" customHeight="1">
      <c r="A33" s="114"/>
      <c r="B33" s="21"/>
      <c r="D33" s="69"/>
      <c r="E33" s="69"/>
      <c r="F33" s="69"/>
      <c r="G33" s="69"/>
      <c r="H33" s="69"/>
      <c r="I33" s="69"/>
      <c r="J33" s="69"/>
      <c r="K33" s="69"/>
      <c r="L33" s="69"/>
      <c r="M33" s="69"/>
      <c r="N33" s="172"/>
    </row>
    <row r="34" spans="1:14" ht="12.75" customHeight="1">
      <c r="A34" s="114"/>
      <c r="B34" s="21" t="s">
        <v>219</v>
      </c>
      <c r="C34" s="181"/>
      <c r="D34" s="65" t="s">
        <v>817</v>
      </c>
      <c r="E34" s="177"/>
      <c r="F34" s="177"/>
      <c r="G34" s="177"/>
      <c r="H34" s="177"/>
      <c r="I34" s="177"/>
      <c r="J34" s="69"/>
      <c r="K34" s="69"/>
      <c r="L34" s="69"/>
      <c r="M34" s="69"/>
      <c r="N34" s="172"/>
    </row>
    <row r="35" spans="1:14" ht="12.75" customHeight="1">
      <c r="A35" s="114"/>
      <c r="N35" s="119"/>
    </row>
    <row r="36" spans="1:14" ht="12.75" customHeight="1">
      <c r="A36" s="114"/>
      <c r="B36" s="22"/>
      <c r="C36" s="22"/>
      <c r="D36" s="22"/>
      <c r="E36" s="22"/>
      <c r="F36" s="182"/>
      <c r="G36" s="182"/>
      <c r="H36" s="182"/>
      <c r="I36" s="182"/>
      <c r="J36" s="182"/>
      <c r="K36" s="182"/>
      <c r="L36" s="182"/>
      <c r="M36" s="182"/>
      <c r="N36" s="166"/>
    </row>
    <row r="37" spans="1:14" ht="12.75" customHeight="1">
      <c r="A37" s="114"/>
      <c r="B37" s="182"/>
      <c r="C37" s="182"/>
      <c r="D37" s="182"/>
      <c r="E37" s="182"/>
      <c r="F37" s="182"/>
      <c r="G37" s="182"/>
      <c r="H37" s="182"/>
      <c r="I37" s="182"/>
      <c r="J37" s="182"/>
      <c r="K37" s="182"/>
      <c r="L37" s="182"/>
      <c r="M37" s="182"/>
      <c r="N37" s="183"/>
    </row>
    <row r="38" spans="1:14" ht="12.75" customHeight="1">
      <c r="A38" s="114"/>
      <c r="B38" s="182"/>
      <c r="C38" s="182"/>
      <c r="D38" s="182"/>
      <c r="E38" s="182"/>
      <c r="F38" s="182"/>
      <c r="G38" s="182"/>
      <c r="H38" s="182"/>
      <c r="I38" s="182"/>
      <c r="J38" s="182"/>
      <c r="K38" s="182"/>
      <c r="L38" s="182"/>
      <c r="M38" s="182"/>
      <c r="N38" s="183"/>
    </row>
    <row r="39" spans="1:14" ht="12.75" customHeight="1">
      <c r="A39" s="114"/>
      <c r="B39" s="182"/>
      <c r="C39" s="182"/>
      <c r="D39" s="182"/>
      <c r="E39" s="182"/>
      <c r="F39" s="182"/>
      <c r="G39" s="182"/>
      <c r="H39" s="182"/>
      <c r="I39" s="182"/>
      <c r="J39" s="182"/>
      <c r="K39" s="182"/>
      <c r="L39" s="182"/>
      <c r="M39" s="182"/>
      <c r="N39" s="183"/>
    </row>
    <row r="40" spans="1:14" ht="12.75" customHeight="1">
      <c r="A40" s="114"/>
      <c r="B40" s="182"/>
      <c r="C40" s="182"/>
      <c r="D40" s="182"/>
      <c r="E40" s="182"/>
      <c r="F40" s="182"/>
      <c r="G40" s="182"/>
      <c r="H40" s="182"/>
      <c r="I40" s="182"/>
      <c r="J40" s="182"/>
      <c r="K40" s="182"/>
      <c r="L40" s="182"/>
      <c r="M40" s="182"/>
      <c r="N40" s="183"/>
    </row>
    <row r="41" spans="1:14" ht="12.75" customHeight="1">
      <c r="A41" s="114"/>
      <c r="B41" s="182"/>
      <c r="C41" s="182"/>
      <c r="D41" s="182"/>
      <c r="E41" s="182"/>
      <c r="F41" s="182"/>
      <c r="G41" s="182"/>
      <c r="H41" s="182"/>
      <c r="I41" s="182"/>
      <c r="J41" s="182"/>
      <c r="K41" s="182"/>
      <c r="L41" s="182"/>
      <c r="M41" s="182"/>
      <c r="N41" s="183"/>
    </row>
    <row r="42" spans="1:14" ht="12.75" customHeight="1">
      <c r="A42" s="114"/>
      <c r="B42" s="182"/>
      <c r="C42" s="182"/>
      <c r="D42" s="182"/>
      <c r="E42" s="182"/>
      <c r="F42" s="182"/>
      <c r="G42" s="182"/>
      <c r="H42" s="182"/>
      <c r="I42" s="182"/>
      <c r="J42" s="182"/>
      <c r="K42" s="182"/>
      <c r="L42" s="182"/>
      <c r="M42" s="182"/>
      <c r="N42" s="183"/>
    </row>
    <row r="43" spans="1:14">
      <c r="A43" s="114"/>
      <c r="B43" s="182"/>
      <c r="C43" s="182"/>
      <c r="D43" s="182"/>
      <c r="E43" s="182"/>
      <c r="F43" s="182"/>
      <c r="G43" s="182"/>
      <c r="H43" s="182"/>
      <c r="I43" s="182"/>
      <c r="J43" s="182"/>
      <c r="K43" s="182"/>
      <c r="L43" s="182"/>
      <c r="M43" s="182"/>
      <c r="N43" s="183"/>
    </row>
    <row r="44" spans="1:14">
      <c r="A44" s="114"/>
      <c r="B44" s="182"/>
      <c r="C44" s="182"/>
      <c r="D44" s="182"/>
      <c r="E44" s="182"/>
      <c r="F44" s="182"/>
      <c r="G44" s="182"/>
      <c r="H44" s="182"/>
      <c r="I44" s="182"/>
      <c r="J44" s="182"/>
      <c r="K44" s="182"/>
      <c r="L44" s="182"/>
      <c r="M44" s="182"/>
      <c r="N44" s="183"/>
    </row>
    <row r="45" spans="1:14">
      <c r="A45" s="114"/>
      <c r="B45" s="182"/>
      <c r="C45" s="182"/>
      <c r="D45" s="182"/>
      <c r="E45" s="182"/>
      <c r="F45" s="182"/>
      <c r="G45" s="182"/>
      <c r="H45" s="182"/>
      <c r="I45" s="182"/>
      <c r="J45" s="182"/>
      <c r="K45" s="182"/>
      <c r="L45" s="182"/>
      <c r="M45" s="182"/>
      <c r="N45" s="183"/>
    </row>
    <row r="46" spans="1:14">
      <c r="A46" s="114"/>
      <c r="H46" s="182"/>
      <c r="I46" s="182"/>
      <c r="J46" s="182"/>
      <c r="K46" s="182"/>
      <c r="L46" s="182"/>
      <c r="M46" s="182"/>
      <c r="N46" s="119"/>
    </row>
    <row r="47" spans="1:14">
      <c r="A47" s="114"/>
      <c r="H47" s="182"/>
      <c r="I47" s="182"/>
      <c r="J47" s="182"/>
      <c r="K47" s="182"/>
      <c r="L47" s="182"/>
      <c r="M47" s="182"/>
      <c r="N47" s="119"/>
    </row>
    <row r="48" spans="1:14">
      <c r="A48" s="114"/>
      <c r="B48" s="182"/>
      <c r="C48" s="182"/>
      <c r="D48" s="182"/>
      <c r="E48" s="182"/>
      <c r="F48" s="182"/>
      <c r="G48" s="182"/>
      <c r="H48" s="182"/>
      <c r="I48" s="182"/>
      <c r="J48" s="182"/>
      <c r="K48" s="182"/>
      <c r="L48" s="182"/>
      <c r="M48" s="182"/>
      <c r="N48" s="119"/>
    </row>
    <row r="49" spans="1:14" ht="12.75" customHeight="1">
      <c r="A49" s="150"/>
      <c r="B49" s="51"/>
      <c r="C49" s="10"/>
      <c r="D49" s="11"/>
      <c r="E49" s="11"/>
      <c r="F49" s="11"/>
      <c r="G49" s="11"/>
      <c r="H49" s="11"/>
      <c r="I49" s="11"/>
      <c r="J49" s="11"/>
      <c r="K49" s="11"/>
      <c r="L49" s="11"/>
      <c r="M49" s="11"/>
      <c r="N49" s="152"/>
    </row>
    <row r="50" spans="1:14" ht="15.5">
      <c r="A50" s="44"/>
      <c r="C50" s="12"/>
      <c r="D50" s="9"/>
      <c r="E50" s="9"/>
      <c r="F50" s="9"/>
      <c r="G50" s="9"/>
      <c r="H50" s="9"/>
      <c r="I50" s="9"/>
      <c r="J50" s="9"/>
      <c r="K50" s="9"/>
      <c r="L50" s="9"/>
      <c r="M50" s="9"/>
    </row>
    <row r="51" spans="1:14" ht="15.5">
      <c r="C51" s="12"/>
      <c r="D51" s="9"/>
      <c r="E51" s="9"/>
      <c r="F51" s="9"/>
      <c r="G51" s="9"/>
      <c r="H51" s="9"/>
      <c r="I51" s="9"/>
      <c r="J51" s="9"/>
      <c r="K51" s="9"/>
      <c r="L51" s="9"/>
      <c r="M51" s="9"/>
    </row>
    <row r="52" spans="1:14" ht="15.5">
      <c r="C52" s="12"/>
      <c r="D52" s="9"/>
      <c r="E52" s="9"/>
      <c r="F52" s="9"/>
      <c r="G52" s="9"/>
      <c r="H52" s="9"/>
      <c r="I52" s="9"/>
      <c r="J52" s="9"/>
      <c r="K52" s="9"/>
      <c r="L52" s="9"/>
      <c r="M52" s="9"/>
    </row>
    <row r="53" spans="1:14">
      <c r="B53" s="13"/>
      <c r="C53" s="12"/>
      <c r="D53" s="184"/>
      <c r="E53" s="12"/>
      <c r="F53" s="185"/>
      <c r="G53" s="186"/>
      <c r="H53" s="185"/>
      <c r="I53" s="111"/>
    </row>
    <row r="54" spans="1:14">
      <c r="B54" s="13"/>
      <c r="C54" s="12"/>
      <c r="D54" s="184"/>
      <c r="E54" s="12"/>
      <c r="F54" s="185"/>
      <c r="G54" s="186"/>
      <c r="H54" s="185"/>
      <c r="I54" s="111"/>
    </row>
    <row r="55" spans="1:14">
      <c r="B55" s="13"/>
      <c r="C55" s="12"/>
      <c r="D55" s="184"/>
      <c r="E55" s="12"/>
      <c r="F55" s="185"/>
      <c r="G55" s="186"/>
      <c r="H55" s="185"/>
      <c r="I55" s="111"/>
    </row>
    <row r="56" spans="1:14">
      <c r="B56" s="13"/>
      <c r="C56" s="12"/>
      <c r="D56" s="184"/>
      <c r="E56" s="12"/>
      <c r="F56" s="185"/>
      <c r="G56" s="186"/>
      <c r="H56" s="185"/>
      <c r="I56" s="111"/>
    </row>
    <row r="57" spans="1:14">
      <c r="B57" s="13"/>
      <c r="C57" s="12"/>
      <c r="D57" s="184"/>
      <c r="E57" s="12"/>
      <c r="F57" s="185"/>
      <c r="G57" s="186"/>
      <c r="H57" s="185"/>
      <c r="I57" s="111"/>
    </row>
    <row r="58" spans="1:14">
      <c r="B58" s="13"/>
      <c r="C58" s="12"/>
      <c r="D58" s="184"/>
      <c r="E58" s="12"/>
      <c r="F58" s="185"/>
      <c r="G58" s="186"/>
      <c r="H58" s="185"/>
      <c r="I58" s="111"/>
    </row>
    <row r="59" spans="1:14">
      <c r="B59" s="13"/>
      <c r="C59" s="12"/>
      <c r="D59" s="184"/>
      <c r="E59" s="12"/>
      <c r="F59" s="185"/>
      <c r="G59" s="186"/>
      <c r="H59" s="185"/>
      <c r="I59" s="111"/>
    </row>
    <row r="60" spans="1:14">
      <c r="B60" s="13"/>
      <c r="C60" s="12"/>
      <c r="D60" s="184"/>
      <c r="E60" s="12"/>
      <c r="F60" s="185"/>
      <c r="G60" s="186"/>
      <c r="H60" s="185"/>
      <c r="I60" s="111"/>
    </row>
    <row r="61" spans="1:14">
      <c r="B61" s="13"/>
      <c r="C61" s="12"/>
      <c r="D61" s="184"/>
      <c r="E61" s="12"/>
      <c r="F61" s="185"/>
      <c r="G61" s="186"/>
      <c r="H61" s="185"/>
      <c r="I61" s="111"/>
    </row>
    <row r="62" spans="1:14">
      <c r="B62" s="13"/>
      <c r="C62" s="12"/>
      <c r="D62" s="184"/>
      <c r="E62" s="12"/>
      <c r="F62" s="185"/>
      <c r="G62" s="186"/>
      <c r="H62" s="185"/>
      <c r="I62" s="111"/>
    </row>
    <row r="63" spans="1:14">
      <c r="B63" s="13"/>
      <c r="C63" s="12"/>
      <c r="D63" s="184"/>
      <c r="E63" s="12"/>
      <c r="F63" s="185"/>
      <c r="G63" s="186"/>
      <c r="H63" s="185"/>
      <c r="I63" s="111"/>
    </row>
    <row r="64" spans="1:14">
      <c r="B64" s="13"/>
      <c r="C64" s="12"/>
      <c r="D64" s="184"/>
      <c r="E64" s="12"/>
      <c r="F64" s="185"/>
      <c r="G64" s="186"/>
      <c r="H64" s="185"/>
      <c r="I64" s="111"/>
    </row>
    <row r="65" spans="2:9">
      <c r="B65" s="13"/>
      <c r="C65" s="12"/>
      <c r="D65" s="184"/>
      <c r="E65" s="12"/>
      <c r="F65" s="185"/>
      <c r="G65" s="186"/>
      <c r="H65" s="185"/>
      <c r="I65" s="111"/>
    </row>
    <row r="66" spans="2:9">
      <c r="B66" s="13"/>
      <c r="C66" s="12"/>
      <c r="D66" s="184"/>
      <c r="E66" s="12"/>
      <c r="F66" s="185"/>
      <c r="G66" s="186"/>
      <c r="H66" s="185"/>
      <c r="I66" s="111"/>
    </row>
    <row r="67" spans="2:9">
      <c r="B67" s="13"/>
      <c r="C67" s="12"/>
      <c r="D67" s="184"/>
      <c r="E67" s="12"/>
      <c r="F67" s="185"/>
      <c r="G67" s="186"/>
      <c r="H67" s="185"/>
      <c r="I67" s="111"/>
    </row>
    <row r="68" spans="2:9" ht="15.5">
      <c r="B68" s="14"/>
      <c r="C68" s="12"/>
      <c r="D68" s="184"/>
      <c r="E68" s="12"/>
      <c r="F68" s="185"/>
      <c r="G68" s="186"/>
      <c r="H68" s="185"/>
      <c r="I68" s="111"/>
    </row>
    <row r="69" spans="2:9" ht="15.5">
      <c r="B69" s="14"/>
      <c r="C69" s="12"/>
      <c r="D69" s="187"/>
      <c r="E69" s="188"/>
      <c r="F69" s="189"/>
      <c r="G69" s="190"/>
      <c r="H69" s="189"/>
      <c r="I69" s="111"/>
    </row>
    <row r="70" spans="2:9" ht="15.5">
      <c r="B70" s="14"/>
      <c r="C70" s="12"/>
      <c r="D70" s="187"/>
      <c r="E70" s="187"/>
      <c r="F70" s="187"/>
      <c r="G70" s="187"/>
      <c r="H70" s="187"/>
      <c r="I70" s="111"/>
    </row>
    <row r="71" spans="2:9" ht="15.5">
      <c r="B71" s="14"/>
      <c r="C71" s="12"/>
      <c r="D71" s="187"/>
      <c r="E71" s="187"/>
      <c r="F71" s="187"/>
      <c r="G71" s="187"/>
      <c r="H71" s="187"/>
      <c r="I71" s="111"/>
    </row>
    <row r="72" spans="2:9" ht="15.5">
      <c r="B72" s="14"/>
      <c r="C72" s="12"/>
      <c r="D72" s="191"/>
      <c r="E72" s="192"/>
      <c r="F72" s="187"/>
      <c r="G72" s="187"/>
      <c r="H72" s="187"/>
      <c r="I72" s="111"/>
    </row>
    <row r="73" spans="2:9">
      <c r="B73" s="13"/>
      <c r="C73" s="12"/>
      <c r="D73" s="188"/>
      <c r="E73" s="192"/>
      <c r="F73" s="187"/>
      <c r="G73" s="187"/>
      <c r="H73" s="187"/>
      <c r="I73" s="111"/>
    </row>
    <row r="74" spans="2:9">
      <c r="B74" s="13"/>
      <c r="C74" s="12"/>
      <c r="D74" s="187"/>
      <c r="E74" s="192"/>
      <c r="F74" s="187"/>
      <c r="G74" s="187"/>
      <c r="H74" s="187"/>
      <c r="I74" s="111"/>
    </row>
    <row r="75" spans="2:9" ht="14">
      <c r="B75" s="187"/>
      <c r="C75" s="188"/>
      <c r="D75" s="193"/>
      <c r="E75" s="193"/>
      <c r="F75" s="193"/>
      <c r="G75" s="193"/>
      <c r="H75" s="193"/>
      <c r="I75" s="111"/>
    </row>
    <row r="76" spans="2:9" ht="14">
      <c r="D76" s="193"/>
      <c r="E76" s="193"/>
      <c r="F76" s="193"/>
      <c r="G76" s="193"/>
      <c r="H76" s="193"/>
      <c r="I76" s="111"/>
    </row>
    <row r="77" spans="2:9" ht="14">
      <c r="D77" s="194"/>
      <c r="E77" s="195"/>
      <c r="F77" s="193"/>
      <c r="G77" s="193"/>
      <c r="H77" s="193"/>
      <c r="I77" s="111"/>
    </row>
    <row r="78" spans="2:9" ht="14">
      <c r="B78" s="191"/>
      <c r="C78" s="192"/>
      <c r="D78" s="196"/>
      <c r="E78" s="195"/>
      <c r="F78" s="193"/>
      <c r="G78" s="193"/>
      <c r="H78" s="193"/>
      <c r="I78" s="111"/>
    </row>
    <row r="79" spans="2:9" ht="14">
      <c r="B79" s="197"/>
      <c r="C79" s="192"/>
      <c r="D79" s="193"/>
      <c r="E79" s="195"/>
      <c r="F79" s="193"/>
      <c r="G79" s="193"/>
      <c r="H79" s="193"/>
      <c r="I79" s="111"/>
    </row>
    <row r="80" spans="2:9">
      <c r="C80" s="192"/>
      <c r="I80" s="111"/>
    </row>
    <row r="81" spans="9:9">
      <c r="I81" s="111"/>
    </row>
    <row r="82" spans="9:9">
      <c r="I82" s="111"/>
    </row>
    <row r="83" spans="9:9">
      <c r="I83" s="111"/>
    </row>
    <row r="84" spans="9:9">
      <c r="I84" s="111"/>
    </row>
    <row r="85" spans="9:9">
      <c r="I85" s="111"/>
    </row>
    <row r="86" spans="9:9">
      <c r="I86" s="111"/>
    </row>
    <row r="87" spans="9:9">
      <c r="I87" s="111"/>
    </row>
    <row r="88" spans="9:9">
      <c r="I88" s="111"/>
    </row>
    <row r="89" spans="9:9">
      <c r="I89" s="111"/>
    </row>
    <row r="90" spans="9:9">
      <c r="I90" s="111"/>
    </row>
    <row r="91" spans="9:9">
      <c r="I91" s="111"/>
    </row>
    <row r="92" spans="9:9">
      <c r="I92" s="111"/>
    </row>
    <row r="93" spans="9:9">
      <c r="I93" s="111"/>
    </row>
    <row r="94" spans="9:9">
      <c r="I94" s="111"/>
    </row>
    <row r="95" spans="9:9">
      <c r="I95" s="111"/>
    </row>
    <row r="96" spans="9:9">
      <c r="I96" s="111"/>
    </row>
    <row r="97" spans="9:9">
      <c r="I97" s="111"/>
    </row>
    <row r="98" spans="9:9">
      <c r="I98" s="111"/>
    </row>
    <row r="99" spans="9:9">
      <c r="I99" s="111"/>
    </row>
    <row r="100" spans="9:9">
      <c r="I100" s="111"/>
    </row>
    <row r="101" spans="9:9">
      <c r="I101" s="111"/>
    </row>
    <row r="102" spans="9:9">
      <c r="I102" s="111"/>
    </row>
    <row r="103" spans="9:9">
      <c r="I103" s="111"/>
    </row>
    <row r="104" spans="9:9">
      <c r="I104" s="111"/>
    </row>
    <row r="105" spans="9:9">
      <c r="I105" s="111"/>
    </row>
    <row r="106" spans="9:9">
      <c r="I106" s="111"/>
    </row>
    <row r="107" spans="9:9">
      <c r="I107" s="111"/>
    </row>
    <row r="108" spans="9:9">
      <c r="I108" s="111"/>
    </row>
    <row r="109" spans="9:9">
      <c r="I109" s="111"/>
    </row>
    <row r="110" spans="9:9">
      <c r="I110" s="111"/>
    </row>
    <row r="111" spans="9:9">
      <c r="I111" s="111"/>
    </row>
    <row r="112" spans="9:9">
      <c r="I112" s="111"/>
    </row>
    <row r="113" spans="9:9">
      <c r="I113" s="111"/>
    </row>
    <row r="114" spans="9:9">
      <c r="I114" s="111"/>
    </row>
    <row r="115" spans="9:9">
      <c r="I115" s="111"/>
    </row>
    <row r="116" spans="9:9">
      <c r="I116" s="111"/>
    </row>
    <row r="117" spans="9:9">
      <c r="I117" s="111"/>
    </row>
    <row r="118" spans="9:9">
      <c r="I118" s="111"/>
    </row>
    <row r="119" spans="9:9">
      <c r="I119" s="111"/>
    </row>
    <row r="120" spans="9:9">
      <c r="I120" s="111"/>
    </row>
    <row r="121" spans="9:9">
      <c r="I121" s="111"/>
    </row>
    <row r="122" spans="9:9">
      <c r="I122" s="111"/>
    </row>
    <row r="123" spans="9:9">
      <c r="I123" s="111"/>
    </row>
    <row r="124" spans="9:9">
      <c r="I124" s="111"/>
    </row>
    <row r="125" spans="9:9">
      <c r="I125" s="111"/>
    </row>
    <row r="126" spans="9:9">
      <c r="I126" s="111"/>
    </row>
    <row r="127" spans="9:9">
      <c r="I127" s="111"/>
    </row>
    <row r="128" spans="9:9">
      <c r="I128" s="111"/>
    </row>
    <row r="129" spans="9:9">
      <c r="I129" s="111"/>
    </row>
    <row r="130" spans="9:9">
      <c r="I130" s="111"/>
    </row>
    <row r="131" spans="9:9">
      <c r="I131" s="111"/>
    </row>
    <row r="132" spans="9:9">
      <c r="I132" s="111"/>
    </row>
    <row r="133" spans="9:9">
      <c r="I133" s="111"/>
    </row>
    <row r="134" spans="9:9">
      <c r="I134" s="111"/>
    </row>
    <row r="135" spans="9:9">
      <c r="I135" s="111"/>
    </row>
    <row r="136" spans="9:9">
      <c r="I136" s="111"/>
    </row>
    <row r="137" spans="9:9">
      <c r="I137" s="111"/>
    </row>
    <row r="138" spans="9:9">
      <c r="I138" s="111"/>
    </row>
    <row r="139" spans="9:9">
      <c r="I139" s="111"/>
    </row>
    <row r="140" spans="9:9">
      <c r="I140" s="111"/>
    </row>
    <row r="141" spans="9:9">
      <c r="I141" s="111"/>
    </row>
    <row r="142" spans="9:9">
      <c r="I142" s="111"/>
    </row>
    <row r="143" spans="9:9">
      <c r="I143" s="111"/>
    </row>
    <row r="144" spans="9:9">
      <c r="I144" s="111"/>
    </row>
    <row r="145" spans="9:9">
      <c r="I145" s="111"/>
    </row>
    <row r="146" spans="9:9">
      <c r="I146" s="111"/>
    </row>
    <row r="147" spans="9:9">
      <c r="I147" s="111"/>
    </row>
    <row r="148" spans="9:9">
      <c r="I148" s="111"/>
    </row>
    <row r="149" spans="9:9">
      <c r="I149" s="111"/>
    </row>
    <row r="150" spans="9:9">
      <c r="I150" s="111"/>
    </row>
    <row r="151" spans="9:9">
      <c r="I151" s="111"/>
    </row>
    <row r="152" spans="9:9">
      <c r="I152" s="111"/>
    </row>
    <row r="153" spans="9:9">
      <c r="I153" s="111"/>
    </row>
    <row r="154" spans="9:9">
      <c r="I154" s="111"/>
    </row>
    <row r="155" spans="9:9">
      <c r="I155" s="111"/>
    </row>
    <row r="156" spans="9:9">
      <c r="I156" s="111"/>
    </row>
    <row r="157" spans="9:9">
      <c r="I157" s="111"/>
    </row>
    <row r="158" spans="9:9">
      <c r="I158" s="111"/>
    </row>
    <row r="159" spans="9:9">
      <c r="I159" s="111"/>
    </row>
    <row r="160" spans="9:9">
      <c r="I160" s="111"/>
    </row>
    <row r="161" spans="9:9">
      <c r="I161" s="111"/>
    </row>
    <row r="162" spans="9:9">
      <c r="I162" s="111"/>
    </row>
    <row r="163" spans="9:9">
      <c r="I163" s="111"/>
    </row>
    <row r="164" spans="9:9">
      <c r="I164" s="111"/>
    </row>
    <row r="165" spans="9:9">
      <c r="I165" s="111"/>
    </row>
    <row r="166" spans="9:9">
      <c r="I166" s="111"/>
    </row>
    <row r="167" spans="9:9">
      <c r="I167" s="111"/>
    </row>
    <row r="168" spans="9:9">
      <c r="I168" s="111"/>
    </row>
    <row r="169" spans="9:9">
      <c r="I169" s="111"/>
    </row>
    <row r="170" spans="9:9">
      <c r="I170" s="111"/>
    </row>
    <row r="171" spans="9:9">
      <c r="I171" s="111"/>
    </row>
    <row r="172" spans="9:9">
      <c r="I172" s="111"/>
    </row>
    <row r="173" spans="9:9">
      <c r="I173" s="111"/>
    </row>
    <row r="174" spans="9:9">
      <c r="I174" s="111"/>
    </row>
    <row r="175" spans="9:9">
      <c r="I175" s="111"/>
    </row>
    <row r="176" spans="9:9">
      <c r="I176" s="111"/>
    </row>
    <row r="177" spans="9:9">
      <c r="I177" s="111"/>
    </row>
    <row r="178" spans="9:9">
      <c r="I178" s="111"/>
    </row>
    <row r="179" spans="9:9">
      <c r="I179" s="111"/>
    </row>
    <row r="180" spans="9:9">
      <c r="I180" s="111"/>
    </row>
    <row r="181" spans="9:9">
      <c r="I181" s="111"/>
    </row>
    <row r="182" spans="9:9">
      <c r="I182" s="111"/>
    </row>
    <row r="183" spans="9:9">
      <c r="I183" s="111"/>
    </row>
    <row r="184" spans="9:9">
      <c r="I184" s="111"/>
    </row>
    <row r="185" spans="9:9">
      <c r="I185" s="111"/>
    </row>
    <row r="186" spans="9:9">
      <c r="I186" s="111"/>
    </row>
    <row r="187" spans="9:9">
      <c r="I187" s="111"/>
    </row>
    <row r="188" spans="9:9">
      <c r="I188" s="111"/>
    </row>
    <row r="189" spans="9:9">
      <c r="I189" s="111"/>
    </row>
    <row r="190" spans="9:9">
      <c r="I190" s="111"/>
    </row>
    <row r="191" spans="9:9">
      <c r="I191" s="111"/>
    </row>
    <row r="192" spans="9:9">
      <c r="I192" s="111"/>
    </row>
    <row r="193" spans="9:9">
      <c r="I193" s="111"/>
    </row>
    <row r="194" spans="9:9">
      <c r="I194" s="111"/>
    </row>
    <row r="195" spans="9:9">
      <c r="I195" s="111"/>
    </row>
    <row r="196" spans="9:9">
      <c r="I196" s="111"/>
    </row>
    <row r="197" spans="9:9">
      <c r="I197" s="111"/>
    </row>
    <row r="198" spans="9:9">
      <c r="I198" s="111"/>
    </row>
    <row r="199" spans="9:9">
      <c r="I199" s="111"/>
    </row>
    <row r="200" spans="9:9">
      <c r="I200" s="111"/>
    </row>
    <row r="201" spans="9:9">
      <c r="I201" s="111"/>
    </row>
    <row r="202" spans="9:9">
      <c r="I202" s="111"/>
    </row>
    <row r="203" spans="9:9">
      <c r="I203" s="111"/>
    </row>
    <row r="204" spans="9:9">
      <c r="I204" s="111"/>
    </row>
    <row r="205" spans="9:9">
      <c r="I205" s="111"/>
    </row>
    <row r="206" spans="9:9">
      <c r="I206" s="111"/>
    </row>
    <row r="207" spans="9:9">
      <c r="I207" s="111"/>
    </row>
    <row r="208" spans="9:9">
      <c r="I208" s="111"/>
    </row>
    <row r="209" spans="9:9">
      <c r="I209" s="111"/>
    </row>
    <row r="210" spans="9:9">
      <c r="I210" s="111"/>
    </row>
    <row r="211" spans="9:9">
      <c r="I211" s="111"/>
    </row>
    <row r="212" spans="9:9">
      <c r="I212" s="111"/>
    </row>
    <row r="213" spans="9:9">
      <c r="I213" s="111"/>
    </row>
    <row r="214" spans="9:9">
      <c r="I214" s="111"/>
    </row>
    <row r="215" spans="9:9">
      <c r="I215" s="111"/>
    </row>
    <row r="216" spans="9:9">
      <c r="I216" s="111"/>
    </row>
    <row r="217" spans="9:9">
      <c r="I217" s="111"/>
    </row>
    <row r="218" spans="9:9">
      <c r="I218" s="111"/>
    </row>
    <row r="219" spans="9:9">
      <c r="I219" s="111"/>
    </row>
    <row r="220" spans="9:9">
      <c r="I220" s="111"/>
    </row>
    <row r="221" spans="9:9">
      <c r="I221" s="111"/>
    </row>
    <row r="222" spans="9:9">
      <c r="I222" s="111"/>
    </row>
    <row r="223" spans="9:9">
      <c r="I223" s="111"/>
    </row>
    <row r="224" spans="9:9">
      <c r="I224" s="111"/>
    </row>
    <row r="225" spans="9:9">
      <c r="I225" s="111"/>
    </row>
    <row r="226" spans="9:9">
      <c r="I226" s="111"/>
    </row>
    <row r="227" spans="9:9">
      <c r="I227" s="111"/>
    </row>
    <row r="228" spans="9:9">
      <c r="I228" s="111"/>
    </row>
    <row r="229" spans="9:9">
      <c r="I229" s="111"/>
    </row>
    <row r="230" spans="9:9">
      <c r="I230" s="111"/>
    </row>
    <row r="231" spans="9:9">
      <c r="I231" s="111"/>
    </row>
    <row r="232" spans="9:9">
      <c r="I232" s="111"/>
    </row>
    <row r="233" spans="9:9">
      <c r="I233" s="111"/>
    </row>
    <row r="234" spans="9:9">
      <c r="I234" s="111"/>
    </row>
    <row r="235" spans="9:9">
      <c r="I235" s="111"/>
    </row>
    <row r="236" spans="9:9">
      <c r="I236" s="111"/>
    </row>
    <row r="237" spans="9:9">
      <c r="I237" s="111"/>
    </row>
    <row r="238" spans="9:9">
      <c r="I238" s="111"/>
    </row>
    <row r="239" spans="9:9">
      <c r="I239" s="111"/>
    </row>
    <row r="240" spans="9:9">
      <c r="I240" s="111"/>
    </row>
    <row r="241" spans="9:9">
      <c r="I241" s="111"/>
    </row>
    <row r="242" spans="9:9">
      <c r="I242" s="111"/>
    </row>
    <row r="243" spans="9:9">
      <c r="I243" s="111"/>
    </row>
    <row r="244" spans="9:9">
      <c r="I244" s="111"/>
    </row>
    <row r="245" spans="9:9">
      <c r="I245" s="111"/>
    </row>
    <row r="246" spans="9:9">
      <c r="I246" s="111"/>
    </row>
    <row r="247" spans="9:9">
      <c r="I247" s="111"/>
    </row>
    <row r="248" spans="9:9">
      <c r="I248" s="111"/>
    </row>
    <row r="249" spans="9:9">
      <c r="I249" s="111"/>
    </row>
    <row r="250" spans="9:9">
      <c r="I250" s="111"/>
    </row>
    <row r="251" spans="9:9">
      <c r="I251" s="111"/>
    </row>
    <row r="252" spans="9:9">
      <c r="I252" s="111"/>
    </row>
    <row r="253" spans="9:9">
      <c r="I253" s="111"/>
    </row>
    <row r="254" spans="9:9">
      <c r="I254" s="111"/>
    </row>
    <row r="255" spans="9:9">
      <c r="I255" s="111"/>
    </row>
    <row r="256" spans="9:9">
      <c r="I256" s="111"/>
    </row>
    <row r="257" spans="9:9">
      <c r="I257" s="111"/>
    </row>
    <row r="258" spans="9:9">
      <c r="I258" s="111"/>
    </row>
    <row r="259" spans="9:9">
      <c r="I259" s="111"/>
    </row>
    <row r="260" spans="9:9">
      <c r="I260" s="111"/>
    </row>
    <row r="261" spans="9:9">
      <c r="I261" s="111"/>
    </row>
    <row r="262" spans="9:9">
      <c r="I262" s="111"/>
    </row>
    <row r="263" spans="9:9">
      <c r="I263" s="111"/>
    </row>
    <row r="264" spans="9:9">
      <c r="I264" s="111"/>
    </row>
    <row r="265" spans="9:9">
      <c r="I265" s="111"/>
    </row>
    <row r="266" spans="9:9">
      <c r="I266" s="111"/>
    </row>
    <row r="267" spans="9:9">
      <c r="I267" s="111"/>
    </row>
    <row r="268" spans="9:9">
      <c r="I268" s="111"/>
    </row>
    <row r="269" spans="9:9">
      <c r="I269" s="111"/>
    </row>
    <row r="270" spans="9:9">
      <c r="I270" s="111"/>
    </row>
    <row r="271" spans="9:9">
      <c r="I271" s="111"/>
    </row>
    <row r="272" spans="9:9">
      <c r="I272" s="111"/>
    </row>
    <row r="273" spans="9:9">
      <c r="I273" s="111"/>
    </row>
    <row r="274" spans="9:9">
      <c r="I274" s="111"/>
    </row>
    <row r="275" spans="9:9">
      <c r="I275" s="111"/>
    </row>
    <row r="276" spans="9:9">
      <c r="I276" s="111"/>
    </row>
    <row r="277" spans="9:9">
      <c r="I277" s="111"/>
    </row>
    <row r="278" spans="9:9">
      <c r="I278" s="111"/>
    </row>
    <row r="279" spans="9:9">
      <c r="I279" s="111"/>
    </row>
    <row r="280" spans="9:9">
      <c r="I280" s="111"/>
    </row>
    <row r="281" spans="9:9">
      <c r="I281" s="111"/>
    </row>
    <row r="282" spans="9:9">
      <c r="I282" s="111"/>
    </row>
    <row r="283" spans="9:9">
      <c r="I283" s="111"/>
    </row>
    <row r="284" spans="9:9">
      <c r="I284" s="111"/>
    </row>
    <row r="285" spans="9:9">
      <c r="I285" s="111"/>
    </row>
    <row r="286" spans="9:9">
      <c r="I286" s="111"/>
    </row>
    <row r="287" spans="9:9">
      <c r="I287" s="111"/>
    </row>
    <row r="288" spans="9:9">
      <c r="I288" s="111"/>
    </row>
    <row r="289" spans="9:9">
      <c r="I289" s="111"/>
    </row>
    <row r="290" spans="9:9">
      <c r="I290" s="111"/>
    </row>
    <row r="291" spans="9:9">
      <c r="I291" s="111"/>
    </row>
    <row r="292" spans="9:9">
      <c r="I292" s="111"/>
    </row>
    <row r="293" spans="9:9">
      <c r="I293" s="111"/>
    </row>
    <row r="294" spans="9:9">
      <c r="I294" s="111"/>
    </row>
    <row r="295" spans="9:9">
      <c r="I295" s="111"/>
    </row>
    <row r="296" spans="9:9">
      <c r="I296" s="111"/>
    </row>
    <row r="297" spans="9:9">
      <c r="I297" s="111"/>
    </row>
    <row r="298" spans="9:9">
      <c r="I298" s="111"/>
    </row>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49"/>
  <sheetViews>
    <sheetView workbookViewId="0"/>
  </sheetViews>
  <sheetFormatPr baseColWidth="10" defaultColWidth="8.7265625" defaultRowHeight="12.5"/>
  <cols>
    <col min="1" max="1" width="13" customWidth="1"/>
    <col min="2" max="2" width="41" customWidth="1"/>
    <col min="3" max="4" width="13" customWidth="1"/>
  </cols>
  <sheetData>
    <row r="1" spans="1:4">
      <c r="A1" t="s">
        <v>819</v>
      </c>
      <c r="B1" t="s">
        <v>820</v>
      </c>
      <c r="C1" t="s">
        <v>821</v>
      </c>
      <c r="D1" t="s">
        <v>822</v>
      </c>
    </row>
    <row r="2" spans="1:4">
      <c r="A2" t="s">
        <v>823</v>
      </c>
      <c r="B2" t="s">
        <v>824</v>
      </c>
      <c r="C2">
        <v>6314</v>
      </c>
      <c r="D2">
        <v>6392218.6100000311</v>
      </c>
    </row>
    <row r="3" spans="1:4">
      <c r="A3" t="s">
        <v>823</v>
      </c>
      <c r="B3" t="s">
        <v>825</v>
      </c>
      <c r="C3">
        <v>6814</v>
      </c>
      <c r="D3">
        <v>20554455.050000094</v>
      </c>
    </row>
    <row r="4" spans="1:4">
      <c r="A4" t="s">
        <v>823</v>
      </c>
      <c r="B4" t="s">
        <v>826</v>
      </c>
      <c r="C4">
        <v>6546</v>
      </c>
      <c r="D4">
        <v>32497788.519999936</v>
      </c>
    </row>
    <row r="5" spans="1:4">
      <c r="A5" t="s">
        <v>823</v>
      </c>
      <c r="B5" t="s">
        <v>827</v>
      </c>
      <c r="C5">
        <v>6035</v>
      </c>
      <c r="D5">
        <v>42155390.219999991</v>
      </c>
    </row>
    <row r="6" spans="1:4">
      <c r="A6" t="s">
        <v>823</v>
      </c>
      <c r="B6" t="s">
        <v>828</v>
      </c>
      <c r="C6">
        <v>5127</v>
      </c>
      <c r="D6">
        <v>45725301.04999999</v>
      </c>
    </row>
    <row r="7" spans="1:4">
      <c r="A7" t="s">
        <v>823</v>
      </c>
      <c r="B7" t="s">
        <v>829</v>
      </c>
      <c r="C7">
        <v>3932</v>
      </c>
      <c r="D7">
        <v>43262990.679999918</v>
      </c>
    </row>
    <row r="8" spans="1:4">
      <c r="A8" t="s">
        <v>823</v>
      </c>
      <c r="B8" t="s">
        <v>830</v>
      </c>
      <c r="C8">
        <v>3678</v>
      </c>
      <c r="D8">
        <v>47664110.579999894</v>
      </c>
    </row>
    <row r="9" spans="1:4">
      <c r="A9" t="s">
        <v>823</v>
      </c>
      <c r="B9" t="s">
        <v>831</v>
      </c>
      <c r="C9">
        <v>3128</v>
      </c>
      <c r="D9">
        <v>46950986.40999987</v>
      </c>
    </row>
    <row r="10" spans="1:4">
      <c r="A10" t="s">
        <v>823</v>
      </c>
      <c r="B10" t="s">
        <v>832</v>
      </c>
      <c r="C10">
        <v>3154</v>
      </c>
      <c r="D10">
        <v>53547170.680000097</v>
      </c>
    </row>
    <row r="11" spans="1:4">
      <c r="A11" t="s">
        <v>823</v>
      </c>
      <c r="B11" t="s">
        <v>833</v>
      </c>
      <c r="C11">
        <v>2592</v>
      </c>
      <c r="D11">
        <v>49229387.389999978</v>
      </c>
    </row>
    <row r="12" spans="1:4">
      <c r="A12" t="s">
        <v>823</v>
      </c>
      <c r="B12" t="s">
        <v>834</v>
      </c>
      <c r="C12">
        <v>2412</v>
      </c>
      <c r="D12">
        <v>50709313.100000091</v>
      </c>
    </row>
    <row r="13" spans="1:4">
      <c r="A13" t="s">
        <v>823</v>
      </c>
      <c r="B13" t="s">
        <v>835</v>
      </c>
      <c r="C13">
        <v>2080</v>
      </c>
      <c r="D13">
        <v>47775077.809999995</v>
      </c>
    </row>
    <row r="14" spans="1:4">
      <c r="A14" t="s">
        <v>823</v>
      </c>
      <c r="B14" t="s">
        <v>836</v>
      </c>
      <c r="C14">
        <v>1869</v>
      </c>
      <c r="D14">
        <v>46733913.600000039</v>
      </c>
    </row>
    <row r="15" spans="1:4">
      <c r="A15" t="s">
        <v>823</v>
      </c>
      <c r="B15" t="s">
        <v>837</v>
      </c>
      <c r="C15">
        <v>1738</v>
      </c>
      <c r="D15">
        <v>46913965.959999911</v>
      </c>
    </row>
    <row r="16" spans="1:4">
      <c r="A16" t="s">
        <v>823</v>
      </c>
      <c r="B16" t="s">
        <v>838</v>
      </c>
      <c r="C16">
        <v>1475</v>
      </c>
      <c r="D16">
        <v>42749315.900000066</v>
      </c>
    </row>
    <row r="17" spans="1:4">
      <c r="A17" t="s">
        <v>823</v>
      </c>
      <c r="B17" t="s">
        <v>839</v>
      </c>
      <c r="C17">
        <v>1391</v>
      </c>
      <c r="D17">
        <v>43081489.850000016</v>
      </c>
    </row>
    <row r="18" spans="1:4">
      <c r="A18" t="s">
        <v>823</v>
      </c>
      <c r="B18" t="s">
        <v>840</v>
      </c>
      <c r="C18">
        <v>1221</v>
      </c>
      <c r="D18">
        <v>40259579.669999957</v>
      </c>
    </row>
    <row r="19" spans="1:4">
      <c r="A19" t="s">
        <v>823</v>
      </c>
      <c r="B19" t="s">
        <v>841</v>
      </c>
      <c r="C19">
        <v>1151</v>
      </c>
      <c r="D19">
        <v>40270140.340000011</v>
      </c>
    </row>
    <row r="20" spans="1:4">
      <c r="A20" t="s">
        <v>823</v>
      </c>
      <c r="B20" t="s">
        <v>842</v>
      </c>
      <c r="C20">
        <v>924</v>
      </c>
      <c r="D20">
        <v>34165282.889999978</v>
      </c>
    </row>
    <row r="21" spans="1:4">
      <c r="A21" t="s">
        <v>823</v>
      </c>
      <c r="B21" t="s">
        <v>843</v>
      </c>
      <c r="C21">
        <v>876</v>
      </c>
      <c r="D21">
        <v>34143412.349999979</v>
      </c>
    </row>
    <row r="22" spans="1:4">
      <c r="A22" t="s">
        <v>823</v>
      </c>
      <c r="B22" t="s">
        <v>844</v>
      </c>
      <c r="C22">
        <v>847</v>
      </c>
      <c r="D22">
        <v>34693737.119999997</v>
      </c>
    </row>
    <row r="23" spans="1:4">
      <c r="A23" t="s">
        <v>823</v>
      </c>
      <c r="B23" t="s">
        <v>845</v>
      </c>
      <c r="C23">
        <v>703</v>
      </c>
      <c r="D23">
        <v>30228027.849999975</v>
      </c>
    </row>
    <row r="24" spans="1:4">
      <c r="A24" t="s">
        <v>823</v>
      </c>
      <c r="B24" t="s">
        <v>846</v>
      </c>
      <c r="C24">
        <v>649</v>
      </c>
      <c r="D24">
        <v>29181387.570000004</v>
      </c>
    </row>
    <row r="25" spans="1:4">
      <c r="A25" t="s">
        <v>823</v>
      </c>
      <c r="B25" t="s">
        <v>847</v>
      </c>
      <c r="C25">
        <v>518</v>
      </c>
      <c r="D25">
        <v>24330861.459999986</v>
      </c>
    </row>
    <row r="26" spans="1:4">
      <c r="A26" t="s">
        <v>823</v>
      </c>
      <c r="B26" t="s">
        <v>848</v>
      </c>
      <c r="C26">
        <v>468</v>
      </c>
      <c r="D26">
        <v>22907992.779999994</v>
      </c>
    </row>
    <row r="27" spans="1:4">
      <c r="A27" t="s">
        <v>823</v>
      </c>
      <c r="B27" t="s">
        <v>849</v>
      </c>
      <c r="C27">
        <v>377</v>
      </c>
      <c r="D27">
        <v>19228976.599999998</v>
      </c>
    </row>
    <row r="28" spans="1:4">
      <c r="A28" t="s">
        <v>823</v>
      </c>
      <c r="B28" t="s">
        <v>850</v>
      </c>
      <c r="C28">
        <v>351</v>
      </c>
      <c r="D28">
        <v>18574728.16</v>
      </c>
    </row>
    <row r="29" spans="1:4">
      <c r="A29" t="s">
        <v>823</v>
      </c>
      <c r="B29" t="s">
        <v>851</v>
      </c>
      <c r="C29">
        <v>274</v>
      </c>
      <c r="D29">
        <v>15072258.019999988</v>
      </c>
    </row>
    <row r="30" spans="1:4">
      <c r="A30" t="s">
        <v>823</v>
      </c>
      <c r="B30" t="s">
        <v>852</v>
      </c>
      <c r="C30">
        <v>269</v>
      </c>
      <c r="D30">
        <v>15320661.589999998</v>
      </c>
    </row>
    <row r="31" spans="1:4">
      <c r="A31" t="s">
        <v>823</v>
      </c>
      <c r="B31" t="s">
        <v>853</v>
      </c>
      <c r="C31">
        <v>277</v>
      </c>
      <c r="D31">
        <v>16331983.380000001</v>
      </c>
    </row>
    <row r="32" spans="1:4">
      <c r="A32" t="s">
        <v>823</v>
      </c>
      <c r="B32" t="s">
        <v>854</v>
      </c>
      <c r="C32">
        <v>238</v>
      </c>
      <c r="D32">
        <v>14515583.630000005</v>
      </c>
    </row>
    <row r="33" spans="1:4">
      <c r="A33" t="s">
        <v>823</v>
      </c>
      <c r="B33" t="s">
        <v>855</v>
      </c>
      <c r="C33">
        <v>231</v>
      </c>
      <c r="D33">
        <v>14566210.980000015</v>
      </c>
    </row>
    <row r="34" spans="1:4">
      <c r="A34" t="s">
        <v>823</v>
      </c>
      <c r="B34" t="s">
        <v>856</v>
      </c>
      <c r="C34">
        <v>227</v>
      </c>
      <c r="D34">
        <v>14741862.299999988</v>
      </c>
    </row>
    <row r="35" spans="1:4">
      <c r="A35" t="s">
        <v>823</v>
      </c>
      <c r="B35" t="s">
        <v>857</v>
      </c>
      <c r="C35">
        <v>174</v>
      </c>
      <c r="D35">
        <v>11650502.429999994</v>
      </c>
    </row>
    <row r="36" spans="1:4">
      <c r="A36" t="s">
        <v>823</v>
      </c>
      <c r="B36" t="s">
        <v>858</v>
      </c>
      <c r="C36">
        <v>137</v>
      </c>
      <c r="D36">
        <v>9447359.320000004</v>
      </c>
    </row>
    <row r="37" spans="1:4">
      <c r="A37" t="s">
        <v>823</v>
      </c>
      <c r="B37" t="s">
        <v>859</v>
      </c>
      <c r="C37">
        <v>102</v>
      </c>
      <c r="D37">
        <v>7223369.9299999997</v>
      </c>
    </row>
    <row r="38" spans="1:4">
      <c r="A38" t="s">
        <v>823</v>
      </c>
      <c r="B38" t="s">
        <v>860</v>
      </c>
      <c r="C38">
        <v>93</v>
      </c>
      <c r="D38">
        <v>6777977.0700000012</v>
      </c>
    </row>
    <row r="39" spans="1:4">
      <c r="A39" t="s">
        <v>823</v>
      </c>
      <c r="B39" t="s">
        <v>861</v>
      </c>
      <c r="C39">
        <v>55</v>
      </c>
      <c r="D39">
        <v>4112425.8799999994</v>
      </c>
    </row>
    <row r="40" spans="1:4">
      <c r="A40" t="s">
        <v>823</v>
      </c>
      <c r="B40" t="s">
        <v>862</v>
      </c>
      <c r="C40">
        <v>45</v>
      </c>
      <c r="D40">
        <v>3462051.8</v>
      </c>
    </row>
    <row r="41" spans="1:4">
      <c r="A41" t="s">
        <v>823</v>
      </c>
      <c r="B41" t="s">
        <v>863</v>
      </c>
      <c r="C41">
        <v>15</v>
      </c>
      <c r="D41">
        <v>1181703.9500000002</v>
      </c>
    </row>
    <row r="42" spans="1:4">
      <c r="A42" t="s">
        <v>823</v>
      </c>
      <c r="B42" t="s">
        <v>864</v>
      </c>
      <c r="C42">
        <v>40</v>
      </c>
      <c r="D42">
        <v>3412781.290000001</v>
      </c>
    </row>
    <row r="43" spans="1:4">
      <c r="A43" t="s">
        <v>823</v>
      </c>
      <c r="B43" t="s">
        <v>865</v>
      </c>
      <c r="D43">
        <v>177</v>
      </c>
    </row>
    <row r="44" spans="1:4">
      <c r="A44" t="s">
        <v>823</v>
      </c>
      <c r="B44" t="s">
        <v>866</v>
      </c>
      <c r="C44">
        <v>65</v>
      </c>
      <c r="D44">
        <v>73006.44</v>
      </c>
    </row>
    <row r="45" spans="1:4">
      <c r="A45" t="s">
        <v>823</v>
      </c>
      <c r="B45" t="s">
        <v>867</v>
      </c>
      <c r="C45">
        <v>134</v>
      </c>
      <c r="D45">
        <v>810547.09999999986</v>
      </c>
    </row>
    <row r="46" spans="1:4">
      <c r="A46" t="s">
        <v>823</v>
      </c>
      <c r="B46" t="s">
        <v>868</v>
      </c>
      <c r="C46">
        <v>1174</v>
      </c>
      <c r="D46">
        <v>13219779.93</v>
      </c>
    </row>
    <row r="47" spans="1:4">
      <c r="A47" t="s">
        <v>823</v>
      </c>
      <c r="B47" t="s">
        <v>869</v>
      </c>
      <c r="C47">
        <v>936</v>
      </c>
      <c r="D47">
        <v>11710353.499999991</v>
      </c>
    </row>
    <row r="48" spans="1:4">
      <c r="A48" t="s">
        <v>823</v>
      </c>
      <c r="B48" t="s">
        <v>870</v>
      </c>
      <c r="C48">
        <v>1633</v>
      </c>
      <c r="D48">
        <v>22890754.150000043</v>
      </c>
    </row>
    <row r="49" spans="1:4">
      <c r="A49" t="s">
        <v>823</v>
      </c>
      <c r="B49" t="s">
        <v>871</v>
      </c>
      <c r="C49">
        <v>3203</v>
      </c>
      <c r="D49">
        <v>57861115.320000067</v>
      </c>
    </row>
    <row r="50" spans="1:4">
      <c r="A50" t="s">
        <v>823</v>
      </c>
      <c r="B50" t="s">
        <v>872</v>
      </c>
      <c r="C50">
        <v>5561</v>
      </c>
      <c r="D50">
        <v>106058662.96999988</v>
      </c>
    </row>
    <row r="51" spans="1:4">
      <c r="A51" t="s">
        <v>823</v>
      </c>
      <c r="B51" t="s">
        <v>873</v>
      </c>
      <c r="C51">
        <v>10330</v>
      </c>
      <c r="D51">
        <v>208494314.20999977</v>
      </c>
    </row>
    <row r="52" spans="1:4">
      <c r="A52" t="s">
        <v>823</v>
      </c>
      <c r="B52" t="s">
        <v>874</v>
      </c>
      <c r="C52">
        <v>16399</v>
      </c>
      <c r="D52">
        <v>288452718.26000035</v>
      </c>
    </row>
    <row r="53" spans="1:4">
      <c r="A53" t="s">
        <v>823</v>
      </c>
      <c r="B53" t="s">
        <v>875</v>
      </c>
      <c r="C53">
        <v>16000</v>
      </c>
      <c r="D53">
        <v>247574261.23999971</v>
      </c>
    </row>
    <row r="54" spans="1:4">
      <c r="A54" t="s">
        <v>823</v>
      </c>
      <c r="B54" t="s">
        <v>876</v>
      </c>
      <c r="C54">
        <v>7280</v>
      </c>
      <c r="D54">
        <v>101400068.0400005</v>
      </c>
    </row>
    <row r="55" spans="1:4">
      <c r="A55" t="s">
        <v>823</v>
      </c>
      <c r="B55" t="s">
        <v>877</v>
      </c>
      <c r="C55">
        <v>4080</v>
      </c>
      <c r="D55">
        <v>53627426.120000064</v>
      </c>
    </row>
    <row r="56" spans="1:4">
      <c r="A56" t="s">
        <v>823</v>
      </c>
      <c r="B56" t="s">
        <v>878</v>
      </c>
      <c r="C56">
        <v>1120</v>
      </c>
      <c r="D56">
        <v>13601290.039999992</v>
      </c>
    </row>
    <row r="57" spans="1:4">
      <c r="A57" t="s">
        <v>823</v>
      </c>
      <c r="B57" t="s">
        <v>879</v>
      </c>
      <c r="C57">
        <v>632</v>
      </c>
      <c r="D57">
        <v>5969436.450000002</v>
      </c>
    </row>
    <row r="58" spans="1:4">
      <c r="A58" t="s">
        <v>823</v>
      </c>
      <c r="B58" t="s">
        <v>880</v>
      </c>
      <c r="D58">
        <v>68547</v>
      </c>
    </row>
    <row r="59" spans="1:4">
      <c r="A59" t="s">
        <v>823</v>
      </c>
      <c r="B59" t="s">
        <v>881</v>
      </c>
      <c r="D59">
        <v>70226</v>
      </c>
    </row>
    <row r="60" spans="1:4">
      <c r="A60" t="s">
        <v>823</v>
      </c>
      <c r="B60" t="s">
        <v>882</v>
      </c>
      <c r="C60">
        <v>1175</v>
      </c>
      <c r="D60">
        <v>1566489.4200000016</v>
      </c>
    </row>
    <row r="61" spans="1:4">
      <c r="A61" t="s">
        <v>823</v>
      </c>
      <c r="B61" t="s">
        <v>883</v>
      </c>
      <c r="C61">
        <v>4811</v>
      </c>
      <c r="D61">
        <v>13727352.369999796</v>
      </c>
    </row>
    <row r="62" spans="1:4">
      <c r="A62" t="s">
        <v>823</v>
      </c>
      <c r="B62" t="s">
        <v>884</v>
      </c>
      <c r="C62">
        <v>6187</v>
      </c>
      <c r="D62">
        <v>30282952.450000431</v>
      </c>
    </row>
    <row r="63" spans="1:4">
      <c r="A63" t="s">
        <v>823</v>
      </c>
      <c r="B63" t="s">
        <v>885</v>
      </c>
      <c r="C63">
        <v>5843</v>
      </c>
      <c r="D63">
        <v>40393681.299999952</v>
      </c>
    </row>
    <row r="64" spans="1:4">
      <c r="A64" t="s">
        <v>823</v>
      </c>
      <c r="B64" t="s">
        <v>886</v>
      </c>
      <c r="C64">
        <v>4209</v>
      </c>
      <c r="D64">
        <v>37258402.669999972</v>
      </c>
    </row>
    <row r="65" spans="1:4">
      <c r="A65" t="s">
        <v>823</v>
      </c>
      <c r="B65" t="s">
        <v>887</v>
      </c>
      <c r="C65">
        <v>5564</v>
      </c>
      <c r="D65">
        <v>59097065.689998724</v>
      </c>
    </row>
    <row r="66" spans="1:4">
      <c r="A66" t="s">
        <v>823</v>
      </c>
      <c r="B66" t="s">
        <v>888</v>
      </c>
      <c r="C66">
        <v>3558</v>
      </c>
      <c r="D66">
        <v>45786236.23000019</v>
      </c>
    </row>
    <row r="67" spans="1:4">
      <c r="A67" t="s">
        <v>823</v>
      </c>
      <c r="B67" t="s">
        <v>889</v>
      </c>
      <c r="C67">
        <v>3838</v>
      </c>
      <c r="D67">
        <v>57833629.189999685</v>
      </c>
    </row>
    <row r="68" spans="1:4">
      <c r="A68" t="s">
        <v>823</v>
      </c>
      <c r="B68" t="s">
        <v>890</v>
      </c>
      <c r="C68">
        <v>2469</v>
      </c>
      <c r="D68">
        <v>41901521.860000148</v>
      </c>
    </row>
    <row r="69" spans="1:4">
      <c r="A69" t="s">
        <v>823</v>
      </c>
      <c r="B69" t="s">
        <v>891</v>
      </c>
      <c r="C69">
        <v>2353</v>
      </c>
      <c r="D69">
        <v>44534932.770000033</v>
      </c>
    </row>
    <row r="70" spans="1:4">
      <c r="A70" t="s">
        <v>823</v>
      </c>
      <c r="B70" t="s">
        <v>892</v>
      </c>
      <c r="C70">
        <v>3372</v>
      </c>
      <c r="D70">
        <v>69815431.349999413</v>
      </c>
    </row>
    <row r="71" spans="1:4">
      <c r="A71" t="s">
        <v>823</v>
      </c>
      <c r="B71" t="s">
        <v>893</v>
      </c>
      <c r="C71">
        <v>2030</v>
      </c>
      <c r="D71">
        <v>46557478.369999997</v>
      </c>
    </row>
    <row r="72" spans="1:4">
      <c r="A72" t="s">
        <v>823</v>
      </c>
      <c r="B72" t="s">
        <v>894</v>
      </c>
      <c r="C72">
        <v>2328</v>
      </c>
      <c r="D72">
        <v>58028627.97000017</v>
      </c>
    </row>
    <row r="73" spans="1:4">
      <c r="A73" t="s">
        <v>823</v>
      </c>
      <c r="B73" t="s">
        <v>895</v>
      </c>
      <c r="C73">
        <v>1993</v>
      </c>
      <c r="D73">
        <v>53411314.200000189</v>
      </c>
    </row>
    <row r="74" spans="1:4">
      <c r="A74" t="s">
        <v>823</v>
      </c>
      <c r="B74" t="s">
        <v>896</v>
      </c>
      <c r="C74">
        <v>1479</v>
      </c>
      <c r="D74">
        <v>42806707.709999934</v>
      </c>
    </row>
    <row r="75" spans="1:4">
      <c r="A75" t="s">
        <v>823</v>
      </c>
      <c r="B75" t="s">
        <v>897</v>
      </c>
      <c r="C75">
        <v>2196</v>
      </c>
      <c r="D75">
        <v>67629446.790000036</v>
      </c>
    </row>
    <row r="76" spans="1:4">
      <c r="A76" t="s">
        <v>823</v>
      </c>
      <c r="B76" t="s">
        <v>898</v>
      </c>
      <c r="C76">
        <v>1240</v>
      </c>
      <c r="D76">
        <v>40844136.050000004</v>
      </c>
    </row>
    <row r="77" spans="1:4">
      <c r="A77" t="s">
        <v>823</v>
      </c>
      <c r="B77" t="s">
        <v>899</v>
      </c>
      <c r="C77">
        <v>1382</v>
      </c>
      <c r="D77">
        <v>48302469.449999988</v>
      </c>
    </row>
    <row r="78" spans="1:4">
      <c r="A78" t="s">
        <v>823</v>
      </c>
      <c r="B78" t="s">
        <v>900</v>
      </c>
      <c r="C78">
        <v>1230</v>
      </c>
      <c r="D78">
        <v>45376923.17999994</v>
      </c>
    </row>
    <row r="79" spans="1:4">
      <c r="A79" t="s">
        <v>823</v>
      </c>
      <c r="B79" t="s">
        <v>901</v>
      </c>
      <c r="C79">
        <v>923</v>
      </c>
      <c r="D79">
        <v>35937176.099999994</v>
      </c>
    </row>
    <row r="80" spans="1:4">
      <c r="A80" t="s">
        <v>823</v>
      </c>
      <c r="B80" t="s">
        <v>902</v>
      </c>
      <c r="C80">
        <v>1390</v>
      </c>
      <c r="D80">
        <v>56868047.649999782</v>
      </c>
    </row>
    <row r="81" spans="1:4">
      <c r="A81" t="s">
        <v>823</v>
      </c>
      <c r="B81" t="s">
        <v>903</v>
      </c>
      <c r="C81">
        <v>815</v>
      </c>
      <c r="D81">
        <v>34987948.95000001</v>
      </c>
    </row>
    <row r="82" spans="1:4">
      <c r="A82" t="s">
        <v>823</v>
      </c>
      <c r="B82" t="s">
        <v>904</v>
      </c>
      <c r="C82">
        <v>806</v>
      </c>
      <c r="D82">
        <v>36250143.840000041</v>
      </c>
    </row>
    <row r="83" spans="1:4">
      <c r="A83" t="s">
        <v>823</v>
      </c>
      <c r="B83" t="s">
        <v>905</v>
      </c>
      <c r="C83">
        <v>765</v>
      </c>
      <c r="D83">
        <v>35929263.86999993</v>
      </c>
    </row>
    <row r="84" spans="1:4">
      <c r="A84" t="s">
        <v>823</v>
      </c>
      <c r="B84" t="s">
        <v>906</v>
      </c>
      <c r="C84">
        <v>565</v>
      </c>
      <c r="D84">
        <v>27660385.969999995</v>
      </c>
    </row>
    <row r="85" spans="1:4">
      <c r="A85" t="s">
        <v>823</v>
      </c>
      <c r="B85" t="s">
        <v>907</v>
      </c>
      <c r="C85">
        <v>855</v>
      </c>
      <c r="D85">
        <v>43200414.709999979</v>
      </c>
    </row>
    <row r="86" spans="1:4">
      <c r="A86" t="s">
        <v>823</v>
      </c>
      <c r="B86" t="s">
        <v>908</v>
      </c>
      <c r="C86">
        <v>707</v>
      </c>
      <c r="D86">
        <v>37271221.849999979</v>
      </c>
    </row>
    <row r="87" spans="1:4">
      <c r="A87" t="s">
        <v>823</v>
      </c>
      <c r="B87" t="s">
        <v>909</v>
      </c>
      <c r="C87">
        <v>490</v>
      </c>
      <c r="D87">
        <v>26933109.780000005</v>
      </c>
    </row>
    <row r="88" spans="1:4">
      <c r="A88" t="s">
        <v>823</v>
      </c>
      <c r="B88" t="s">
        <v>910</v>
      </c>
      <c r="C88">
        <v>418</v>
      </c>
      <c r="D88">
        <v>23836823.139999986</v>
      </c>
    </row>
    <row r="89" spans="1:4">
      <c r="A89" t="s">
        <v>823</v>
      </c>
      <c r="B89" t="s">
        <v>911</v>
      </c>
      <c r="C89">
        <v>364</v>
      </c>
      <c r="D89">
        <v>21453714.25</v>
      </c>
    </row>
    <row r="90" spans="1:4">
      <c r="A90" t="s">
        <v>823</v>
      </c>
      <c r="B90" t="s">
        <v>912</v>
      </c>
      <c r="C90">
        <v>428</v>
      </c>
      <c r="D90">
        <v>25969565.780000005</v>
      </c>
    </row>
    <row r="91" spans="1:4">
      <c r="A91" t="s">
        <v>823</v>
      </c>
      <c r="B91" t="s">
        <v>913</v>
      </c>
      <c r="C91">
        <v>332</v>
      </c>
      <c r="D91">
        <v>20896495.070000011</v>
      </c>
    </row>
    <row r="92" spans="1:4">
      <c r="A92" t="s">
        <v>823</v>
      </c>
      <c r="B92" t="s">
        <v>914</v>
      </c>
      <c r="C92">
        <v>280</v>
      </c>
      <c r="D92">
        <v>18191544.519999996</v>
      </c>
    </row>
    <row r="93" spans="1:4">
      <c r="A93" t="s">
        <v>823</v>
      </c>
      <c r="B93" t="s">
        <v>915</v>
      </c>
      <c r="C93">
        <v>230</v>
      </c>
      <c r="D93">
        <v>15416778.970000006</v>
      </c>
    </row>
    <row r="94" spans="1:4">
      <c r="A94" t="s">
        <v>823</v>
      </c>
      <c r="B94" t="s">
        <v>916</v>
      </c>
      <c r="C94">
        <v>198</v>
      </c>
      <c r="D94">
        <v>13658429.370000003</v>
      </c>
    </row>
    <row r="95" spans="1:4">
      <c r="A95" t="s">
        <v>823</v>
      </c>
      <c r="B95" t="s">
        <v>917</v>
      </c>
      <c r="C95">
        <v>255</v>
      </c>
      <c r="D95">
        <v>18061469.310000002</v>
      </c>
    </row>
    <row r="96" spans="1:4">
      <c r="A96" t="s">
        <v>823</v>
      </c>
      <c r="B96" t="s">
        <v>918</v>
      </c>
      <c r="C96">
        <v>204</v>
      </c>
      <c r="D96">
        <v>14884519.990000004</v>
      </c>
    </row>
    <row r="97" spans="1:4">
      <c r="A97" t="s">
        <v>823</v>
      </c>
      <c r="B97" t="s">
        <v>919</v>
      </c>
      <c r="C97">
        <v>343</v>
      </c>
      <c r="D97">
        <v>25709944.609999985</v>
      </c>
    </row>
    <row r="98" spans="1:4">
      <c r="A98" t="s">
        <v>823</v>
      </c>
      <c r="B98" t="s">
        <v>920</v>
      </c>
      <c r="C98">
        <v>130</v>
      </c>
      <c r="D98">
        <v>10001795.049999995</v>
      </c>
    </row>
    <row r="99" spans="1:4">
      <c r="A99" t="s">
        <v>823</v>
      </c>
      <c r="B99" t="s">
        <v>921</v>
      </c>
      <c r="C99">
        <v>258</v>
      </c>
      <c r="D99">
        <v>20319349.529999979</v>
      </c>
    </row>
    <row r="100" spans="1:4">
      <c r="A100" t="s">
        <v>823</v>
      </c>
      <c r="B100" t="s">
        <v>922</v>
      </c>
      <c r="C100">
        <v>149</v>
      </c>
      <c r="D100">
        <v>12068514.910000004</v>
      </c>
    </row>
    <row r="101" spans="1:4">
      <c r="A101" t="s">
        <v>823</v>
      </c>
      <c r="B101" t="s">
        <v>923</v>
      </c>
      <c r="C101">
        <v>133</v>
      </c>
      <c r="D101">
        <v>11036999.75</v>
      </c>
    </row>
    <row r="102" spans="1:4">
      <c r="A102" t="s">
        <v>823</v>
      </c>
      <c r="B102" t="s">
        <v>924</v>
      </c>
      <c r="C102">
        <v>90</v>
      </c>
      <c r="D102">
        <v>7636491.9300000025</v>
      </c>
    </row>
    <row r="103" spans="1:4">
      <c r="A103" t="s">
        <v>823</v>
      </c>
      <c r="B103" t="s">
        <v>925</v>
      </c>
      <c r="C103">
        <v>60</v>
      </c>
      <c r="D103">
        <v>5207841.75</v>
      </c>
    </row>
    <row r="104" spans="1:4">
      <c r="A104" t="s">
        <v>823</v>
      </c>
      <c r="B104" t="s">
        <v>926</v>
      </c>
      <c r="C104">
        <v>39</v>
      </c>
      <c r="D104">
        <v>3461395.0199999986</v>
      </c>
    </row>
    <row r="105" spans="1:4">
      <c r="A105" t="s">
        <v>823</v>
      </c>
      <c r="B105" t="s">
        <v>927</v>
      </c>
      <c r="C105">
        <v>19</v>
      </c>
      <c r="D105">
        <v>1725772.0299999998</v>
      </c>
    </row>
    <row r="106" spans="1:4">
      <c r="A106" t="s">
        <v>823</v>
      </c>
      <c r="B106" t="s">
        <v>928</v>
      </c>
      <c r="C106">
        <v>14</v>
      </c>
      <c r="D106">
        <v>1300680.1299999999</v>
      </c>
    </row>
    <row r="107" spans="1:4">
      <c r="A107" t="s">
        <v>823</v>
      </c>
      <c r="B107" t="s">
        <v>929</v>
      </c>
      <c r="C107">
        <v>7</v>
      </c>
      <c r="D107">
        <v>666244.34000000008</v>
      </c>
    </row>
    <row r="108" spans="1:4">
      <c r="A108" t="s">
        <v>823</v>
      </c>
      <c r="B108" t="s">
        <v>930</v>
      </c>
      <c r="C108">
        <v>1</v>
      </c>
      <c r="D108">
        <v>96219.520000000004</v>
      </c>
    </row>
    <row r="109" spans="1:4">
      <c r="A109" t="s">
        <v>823</v>
      </c>
      <c r="B109" t="s">
        <v>931</v>
      </c>
      <c r="C109">
        <v>4</v>
      </c>
      <c r="D109">
        <v>396412.5</v>
      </c>
    </row>
    <row r="110" spans="1:4">
      <c r="A110" t="s">
        <v>823</v>
      </c>
      <c r="B110" t="s">
        <v>932</v>
      </c>
      <c r="C110">
        <v>18</v>
      </c>
      <c r="D110">
        <v>1995557.12</v>
      </c>
    </row>
    <row r="111" spans="1:4">
      <c r="A111" t="s">
        <v>933</v>
      </c>
      <c r="B111" t="s">
        <v>934</v>
      </c>
      <c r="D111">
        <v>56353431.509999909</v>
      </c>
    </row>
    <row r="112" spans="1:4">
      <c r="A112" t="s">
        <v>823</v>
      </c>
      <c r="B112" t="s">
        <v>935</v>
      </c>
      <c r="C112">
        <v>2</v>
      </c>
      <c r="D112">
        <v>117438.49</v>
      </c>
    </row>
    <row r="113" spans="1:4">
      <c r="A113" t="s">
        <v>823</v>
      </c>
      <c r="B113" t="s">
        <v>936</v>
      </c>
      <c r="C113">
        <v>1</v>
      </c>
      <c r="D113">
        <v>86228.54</v>
      </c>
    </row>
    <row r="114" spans="1:4">
      <c r="A114" t="s">
        <v>823</v>
      </c>
      <c r="B114" t="s">
        <v>937</v>
      </c>
      <c r="C114">
        <v>1</v>
      </c>
      <c r="D114">
        <v>85984.53</v>
      </c>
    </row>
    <row r="115" spans="1:4">
      <c r="A115" t="s">
        <v>823</v>
      </c>
      <c r="B115" t="s">
        <v>938</v>
      </c>
      <c r="C115">
        <v>1</v>
      </c>
      <c r="D115">
        <v>84908.86</v>
      </c>
    </row>
    <row r="116" spans="1:4">
      <c r="A116" t="s">
        <v>823</v>
      </c>
      <c r="B116" t="s">
        <v>939</v>
      </c>
      <c r="C116">
        <v>1</v>
      </c>
      <c r="D116">
        <v>84413.6</v>
      </c>
    </row>
    <row r="117" spans="1:4">
      <c r="A117" t="s">
        <v>823</v>
      </c>
      <c r="B117" t="s">
        <v>940</v>
      </c>
      <c r="C117">
        <v>1</v>
      </c>
      <c r="D117">
        <v>84264.37</v>
      </c>
    </row>
    <row r="118" spans="1:4">
      <c r="A118" t="s">
        <v>823</v>
      </c>
      <c r="B118" t="s">
        <v>941</v>
      </c>
      <c r="C118">
        <v>1</v>
      </c>
      <c r="D118">
        <v>84228.72</v>
      </c>
    </row>
    <row r="119" spans="1:4">
      <c r="A119" t="s">
        <v>823</v>
      </c>
      <c r="B119" t="s">
        <v>942</v>
      </c>
      <c r="C119">
        <v>1</v>
      </c>
      <c r="D119">
        <v>84155.85</v>
      </c>
    </row>
    <row r="120" spans="1:4">
      <c r="A120" t="s">
        <v>823</v>
      </c>
      <c r="B120" t="s">
        <v>943</v>
      </c>
      <c r="C120">
        <v>1</v>
      </c>
      <c r="D120">
        <v>84024.9</v>
      </c>
    </row>
    <row r="121" spans="1:4">
      <c r="A121" t="s">
        <v>823</v>
      </c>
      <c r="B121" t="s">
        <v>944</v>
      </c>
      <c r="C121">
        <v>1</v>
      </c>
      <c r="D121">
        <v>83858.02</v>
      </c>
    </row>
    <row r="122" spans="1:4">
      <c r="A122" t="s">
        <v>823</v>
      </c>
      <c r="B122" t="s">
        <v>945</v>
      </c>
      <c r="C122">
        <v>1</v>
      </c>
      <c r="D122">
        <v>83810.86</v>
      </c>
    </row>
    <row r="123" spans="1:4">
      <c r="A123" t="s">
        <v>823</v>
      </c>
      <c r="B123" t="s">
        <v>946</v>
      </c>
      <c r="C123">
        <v>1</v>
      </c>
      <c r="D123">
        <v>104381.64</v>
      </c>
    </row>
    <row r="124" spans="1:4">
      <c r="A124" t="s">
        <v>823</v>
      </c>
      <c r="B124" t="s">
        <v>947</v>
      </c>
      <c r="C124">
        <v>1</v>
      </c>
      <c r="D124">
        <v>83351.61</v>
      </c>
    </row>
    <row r="125" spans="1:4">
      <c r="A125" t="s">
        <v>823</v>
      </c>
      <c r="B125" t="s">
        <v>948</v>
      </c>
      <c r="C125">
        <v>1</v>
      </c>
      <c r="D125">
        <v>83196.94</v>
      </c>
    </row>
    <row r="126" spans="1:4">
      <c r="A126" t="s">
        <v>823</v>
      </c>
      <c r="B126" t="s">
        <v>949</v>
      </c>
      <c r="C126">
        <v>1</v>
      </c>
      <c r="D126">
        <v>82998.179999999993</v>
      </c>
    </row>
    <row r="127" spans="1:4">
      <c r="A127" t="s">
        <v>823</v>
      </c>
      <c r="B127" t="s">
        <v>950</v>
      </c>
      <c r="C127">
        <v>1</v>
      </c>
      <c r="D127">
        <v>82576.679999999993</v>
      </c>
    </row>
    <row r="128" spans="1:4">
      <c r="A128" t="s">
        <v>823</v>
      </c>
      <c r="B128" t="s">
        <v>951</v>
      </c>
      <c r="C128">
        <v>1</v>
      </c>
      <c r="D128">
        <v>82275.929999999993</v>
      </c>
    </row>
    <row r="129" spans="1:4">
      <c r="A129" t="s">
        <v>823</v>
      </c>
      <c r="B129" t="s">
        <v>952</v>
      </c>
      <c r="C129">
        <v>1</v>
      </c>
      <c r="D129">
        <v>82271.23</v>
      </c>
    </row>
    <row r="130" spans="1:4">
      <c r="A130" t="s">
        <v>823</v>
      </c>
      <c r="B130" t="s">
        <v>953</v>
      </c>
      <c r="C130">
        <v>1</v>
      </c>
      <c r="D130">
        <v>100596.6</v>
      </c>
    </row>
    <row r="131" spans="1:4">
      <c r="A131" t="s">
        <v>823</v>
      </c>
      <c r="B131" t="s">
        <v>954</v>
      </c>
      <c r="C131">
        <v>1</v>
      </c>
      <c r="D131">
        <v>100334.35</v>
      </c>
    </row>
    <row r="132" spans="1:4">
      <c r="A132" t="s">
        <v>823</v>
      </c>
      <c r="B132" t="s">
        <v>955</v>
      </c>
      <c r="C132">
        <v>1</v>
      </c>
      <c r="D132">
        <v>100108.69</v>
      </c>
    </row>
    <row r="133" spans="1:4">
      <c r="A133" t="s">
        <v>823</v>
      </c>
      <c r="B133" t="s">
        <v>956</v>
      </c>
      <c r="C133">
        <v>1</v>
      </c>
      <c r="D133">
        <v>99938.95</v>
      </c>
    </row>
    <row r="134" spans="1:4">
      <c r="A134" t="s">
        <v>823</v>
      </c>
      <c r="B134" t="s">
        <v>957</v>
      </c>
      <c r="C134">
        <v>1</v>
      </c>
      <c r="D134">
        <v>93868.28</v>
      </c>
    </row>
    <row r="135" spans="1:4">
      <c r="A135" t="s">
        <v>823</v>
      </c>
      <c r="B135" t="s">
        <v>958</v>
      </c>
      <c r="C135">
        <v>1</v>
      </c>
      <c r="D135">
        <v>88310.63</v>
      </c>
    </row>
    <row r="136" spans="1:4">
      <c r="A136" t="s">
        <v>823</v>
      </c>
      <c r="B136" t="s">
        <v>959</v>
      </c>
      <c r="C136">
        <v>1</v>
      </c>
      <c r="D136">
        <v>86255.57</v>
      </c>
    </row>
    <row r="137" spans="1:4">
      <c r="A137" t="s">
        <v>823</v>
      </c>
      <c r="B137" t="s">
        <v>960</v>
      </c>
      <c r="C137">
        <v>318</v>
      </c>
      <c r="D137">
        <v>8955656.6899999939</v>
      </c>
    </row>
    <row r="138" spans="1:4">
      <c r="A138" t="s">
        <v>823</v>
      </c>
      <c r="B138" t="s">
        <v>961</v>
      </c>
      <c r="C138">
        <v>68229</v>
      </c>
      <c r="D138">
        <v>1122788077.0800011</v>
      </c>
    </row>
    <row r="139" spans="1:4">
      <c r="A139" t="s">
        <v>823</v>
      </c>
      <c r="B139" t="s">
        <v>962</v>
      </c>
      <c r="C139">
        <v>8675</v>
      </c>
      <c r="D139">
        <v>156143069.70999986</v>
      </c>
    </row>
    <row r="140" spans="1:4">
      <c r="A140" t="s">
        <v>823</v>
      </c>
      <c r="B140" t="s">
        <v>963</v>
      </c>
      <c r="C140">
        <v>8939</v>
      </c>
      <c r="D140">
        <v>149609463.65000051</v>
      </c>
    </row>
    <row r="141" spans="1:4">
      <c r="A141" t="s">
        <v>823</v>
      </c>
      <c r="B141" t="s">
        <v>964</v>
      </c>
      <c r="C141">
        <v>2678</v>
      </c>
      <c r="D141">
        <v>46941311.829999894</v>
      </c>
    </row>
    <row r="142" spans="1:4">
      <c r="A142" t="s">
        <v>823</v>
      </c>
      <c r="B142" t="s">
        <v>965</v>
      </c>
      <c r="C142">
        <v>2760</v>
      </c>
      <c r="D142">
        <v>42840210.479999855</v>
      </c>
    </row>
    <row r="143" spans="1:4">
      <c r="A143" t="s">
        <v>823</v>
      </c>
      <c r="B143" t="s">
        <v>966</v>
      </c>
      <c r="C143">
        <v>722</v>
      </c>
      <c r="D143">
        <v>12115516.90000001</v>
      </c>
    </row>
    <row r="144" spans="1:4">
      <c r="A144" t="s">
        <v>823</v>
      </c>
      <c r="B144" t="s">
        <v>967</v>
      </c>
      <c r="C144">
        <v>1130</v>
      </c>
      <c r="D144">
        <v>19367101.520000011</v>
      </c>
    </row>
    <row r="145" spans="1:4">
      <c r="A145" t="s">
        <v>823</v>
      </c>
      <c r="B145" t="s">
        <v>968</v>
      </c>
      <c r="C145">
        <v>4775</v>
      </c>
      <c r="D145">
        <v>82454174.539999947</v>
      </c>
    </row>
    <row r="146" spans="1:4">
      <c r="A146" t="s">
        <v>823</v>
      </c>
      <c r="B146" t="s">
        <v>969</v>
      </c>
      <c r="C146">
        <v>7125</v>
      </c>
      <c r="D146">
        <v>116454448.68000014</v>
      </c>
    </row>
    <row r="147" spans="1:4">
      <c r="A147" t="s">
        <v>823</v>
      </c>
      <c r="B147" t="s">
        <v>970</v>
      </c>
      <c r="C147">
        <v>2219</v>
      </c>
      <c r="D147">
        <v>33369201.790000033</v>
      </c>
    </row>
    <row r="148" spans="1:4">
      <c r="A148" t="s">
        <v>823</v>
      </c>
      <c r="B148" t="s">
        <v>971</v>
      </c>
      <c r="C148">
        <v>14473</v>
      </c>
      <c r="D148">
        <v>242538102.92000028</v>
      </c>
    </row>
    <row r="149" spans="1:4">
      <c r="A149" t="s">
        <v>823</v>
      </c>
      <c r="B149" t="s">
        <v>972</v>
      </c>
      <c r="C149">
        <v>3562</v>
      </c>
      <c r="D149">
        <v>57910970.210000046</v>
      </c>
    </row>
    <row r="150" spans="1:4">
      <c r="A150" t="s">
        <v>823</v>
      </c>
      <c r="B150" t="s">
        <v>973</v>
      </c>
      <c r="C150">
        <v>1123</v>
      </c>
      <c r="D150">
        <v>17216740.820000038</v>
      </c>
    </row>
    <row r="151" spans="1:4">
      <c r="A151" t="s">
        <v>974</v>
      </c>
      <c r="B151" t="s">
        <v>975</v>
      </c>
      <c r="C151">
        <v>0</v>
      </c>
      <c r="D151">
        <v>0</v>
      </c>
    </row>
    <row r="152" spans="1:4">
      <c r="A152" t="s">
        <v>823</v>
      </c>
      <c r="B152" t="s">
        <v>976</v>
      </c>
      <c r="C152">
        <v>3076</v>
      </c>
      <c r="D152">
        <v>45223139.499999851</v>
      </c>
    </row>
    <row r="153" spans="1:4">
      <c r="A153" t="s">
        <v>823</v>
      </c>
      <c r="B153" t="s">
        <v>977</v>
      </c>
      <c r="C153">
        <v>2581</v>
      </c>
      <c r="D153">
        <v>37914718.750000037</v>
      </c>
    </row>
    <row r="154" spans="1:4">
      <c r="A154" t="s">
        <v>823</v>
      </c>
      <c r="B154" t="s">
        <v>978</v>
      </c>
      <c r="C154">
        <v>2538</v>
      </c>
      <c r="D154">
        <v>38525982.980000101</v>
      </c>
    </row>
    <row r="155" spans="1:4">
      <c r="A155" t="s">
        <v>823</v>
      </c>
      <c r="B155" t="s">
        <v>979</v>
      </c>
      <c r="C155">
        <v>2115</v>
      </c>
      <c r="D155">
        <v>32104040.710000046</v>
      </c>
    </row>
    <row r="156" spans="1:4">
      <c r="A156" t="s">
        <v>823</v>
      </c>
      <c r="B156" t="s">
        <v>980</v>
      </c>
      <c r="C156">
        <v>56</v>
      </c>
      <c r="D156">
        <v>1015538.78</v>
      </c>
    </row>
    <row r="157" spans="1:4">
      <c r="A157" t="s">
        <v>823</v>
      </c>
      <c r="B157" t="s">
        <v>981</v>
      </c>
      <c r="C157">
        <v>23017</v>
      </c>
      <c r="D157">
        <v>285507223.05999935</v>
      </c>
    </row>
    <row r="158" spans="1:4">
      <c r="A158" t="s">
        <v>823</v>
      </c>
      <c r="B158" t="s">
        <v>982</v>
      </c>
      <c r="C158">
        <v>45530</v>
      </c>
      <c r="D158">
        <v>846236510.71000278</v>
      </c>
    </row>
    <row r="159" spans="1:4">
      <c r="A159" t="s">
        <v>823</v>
      </c>
      <c r="B159" t="s">
        <v>983</v>
      </c>
      <c r="C159">
        <v>68547</v>
      </c>
      <c r="D159">
        <v>8.641114862172769E-2</v>
      </c>
    </row>
    <row r="160" spans="1:4">
      <c r="A160" t="s">
        <v>823</v>
      </c>
      <c r="B160" t="s">
        <v>984</v>
      </c>
      <c r="C160">
        <v>66926</v>
      </c>
      <c r="D160">
        <v>1114312427.530005</v>
      </c>
    </row>
    <row r="161" spans="1:4">
      <c r="A161" t="s">
        <v>823</v>
      </c>
      <c r="B161" t="s">
        <v>985</v>
      </c>
      <c r="C161">
        <v>782</v>
      </c>
      <c r="D161">
        <v>17172821.810000002</v>
      </c>
    </row>
    <row r="162" spans="1:4">
      <c r="A162" t="s">
        <v>823</v>
      </c>
      <c r="B162" t="s">
        <v>986</v>
      </c>
      <c r="C162">
        <v>19</v>
      </c>
      <c r="D162">
        <v>258484.42999999996</v>
      </c>
    </row>
    <row r="163" spans="1:4">
      <c r="A163" t="s">
        <v>974</v>
      </c>
      <c r="B163" t="s">
        <v>987</v>
      </c>
      <c r="C163">
        <v>0</v>
      </c>
      <c r="D163">
        <v>0</v>
      </c>
    </row>
    <row r="164" spans="1:4">
      <c r="A164" t="s">
        <v>974</v>
      </c>
      <c r="B164" t="s">
        <v>988</v>
      </c>
      <c r="C164">
        <v>0</v>
      </c>
      <c r="D164">
        <v>0</v>
      </c>
    </row>
    <row r="165" spans="1:4">
      <c r="A165" t="s">
        <v>974</v>
      </c>
      <c r="B165" t="s">
        <v>989</v>
      </c>
      <c r="C165">
        <v>0</v>
      </c>
      <c r="D165">
        <v>0</v>
      </c>
    </row>
    <row r="166" spans="1:4">
      <c r="A166" t="s">
        <v>974</v>
      </c>
      <c r="B166" t="s">
        <v>990</v>
      </c>
      <c r="C166">
        <v>0</v>
      </c>
      <c r="D166">
        <v>0</v>
      </c>
    </row>
    <row r="167" spans="1:4">
      <c r="A167" t="s">
        <v>823</v>
      </c>
      <c r="B167" t="s">
        <v>991</v>
      </c>
      <c r="C167">
        <v>299</v>
      </c>
      <c r="D167">
        <v>140833.49</v>
      </c>
    </row>
    <row r="168" spans="1:4">
      <c r="A168" t="s">
        <v>823</v>
      </c>
      <c r="B168" t="s">
        <v>992</v>
      </c>
      <c r="C168">
        <v>1876</v>
      </c>
      <c r="D168">
        <v>1879348.7300000021</v>
      </c>
    </row>
    <row r="169" spans="1:4">
      <c r="A169" t="s">
        <v>823</v>
      </c>
      <c r="B169" t="s">
        <v>993</v>
      </c>
      <c r="C169">
        <v>589</v>
      </c>
      <c r="D169">
        <v>1367416.2700000003</v>
      </c>
    </row>
    <row r="170" spans="1:4">
      <c r="A170" t="s">
        <v>823</v>
      </c>
      <c r="B170" t="s">
        <v>994</v>
      </c>
      <c r="C170">
        <v>3363</v>
      </c>
      <c r="D170">
        <v>9468672.2200000212</v>
      </c>
    </row>
    <row r="171" spans="1:4">
      <c r="A171" t="s">
        <v>823</v>
      </c>
      <c r="B171" t="s">
        <v>995</v>
      </c>
      <c r="C171">
        <v>754</v>
      </c>
      <c r="D171">
        <v>4398820.01</v>
      </c>
    </row>
    <row r="172" spans="1:4">
      <c r="A172" t="s">
        <v>823</v>
      </c>
      <c r="B172" t="s">
        <v>996</v>
      </c>
      <c r="C172">
        <v>4406</v>
      </c>
      <c r="D172">
        <v>22125304.369999934</v>
      </c>
    </row>
    <row r="173" spans="1:4">
      <c r="A173" t="s">
        <v>823</v>
      </c>
      <c r="B173" t="s">
        <v>997</v>
      </c>
      <c r="C173">
        <v>4572</v>
      </c>
      <c r="D173">
        <v>35898875.659999959</v>
      </c>
    </row>
    <row r="174" spans="1:4">
      <c r="A174" t="s">
        <v>823</v>
      </c>
      <c r="B174" t="s">
        <v>998</v>
      </c>
      <c r="C174">
        <v>917</v>
      </c>
      <c r="D174">
        <v>11340521.850000007</v>
      </c>
    </row>
    <row r="175" spans="1:4">
      <c r="A175" t="s">
        <v>823</v>
      </c>
      <c r="B175" t="s">
        <v>999</v>
      </c>
      <c r="C175">
        <v>3783</v>
      </c>
      <c r="D175">
        <v>40694073.499999911</v>
      </c>
    </row>
    <row r="176" spans="1:4">
      <c r="A176" t="s">
        <v>823</v>
      </c>
      <c r="B176" t="s">
        <v>1000</v>
      </c>
      <c r="C176">
        <v>1070</v>
      </c>
      <c r="D176">
        <v>18166810.270000007</v>
      </c>
    </row>
    <row r="177" spans="1:4">
      <c r="A177" t="s">
        <v>823</v>
      </c>
      <c r="B177" t="s">
        <v>1001</v>
      </c>
      <c r="C177">
        <v>8030</v>
      </c>
      <c r="D177">
        <v>104336016.05000027</v>
      </c>
    </row>
    <row r="178" spans="1:4">
      <c r="A178" t="s">
        <v>823</v>
      </c>
      <c r="B178" t="s">
        <v>1002</v>
      </c>
      <c r="C178">
        <v>29548</v>
      </c>
      <c r="D178">
        <v>629307632.00000131</v>
      </c>
    </row>
    <row r="179" spans="1:4">
      <c r="A179" t="s">
        <v>823</v>
      </c>
      <c r="B179" t="s">
        <v>1003</v>
      </c>
      <c r="C179">
        <v>8329</v>
      </c>
      <c r="D179">
        <v>221493041.7699993</v>
      </c>
    </row>
    <row r="180" spans="1:4">
      <c r="A180" t="s">
        <v>823</v>
      </c>
      <c r="B180" t="s">
        <v>1004</v>
      </c>
      <c r="C180">
        <v>42</v>
      </c>
      <c r="D180">
        <v>18.780000000001564</v>
      </c>
    </row>
    <row r="181" spans="1:4">
      <c r="A181" t="s">
        <v>823</v>
      </c>
      <c r="B181" t="s">
        <v>1005</v>
      </c>
      <c r="C181">
        <v>917</v>
      </c>
      <c r="D181">
        <v>29686634.100000001</v>
      </c>
    </row>
    <row r="182" spans="1:4">
      <c r="A182" t="s">
        <v>823</v>
      </c>
      <c r="B182" t="s">
        <v>1006</v>
      </c>
      <c r="C182">
        <v>52</v>
      </c>
      <c r="D182">
        <v>1439714.6999999995</v>
      </c>
    </row>
    <row r="183" spans="1:4">
      <c r="A183" t="s">
        <v>823</v>
      </c>
      <c r="B183" t="s">
        <v>1007</v>
      </c>
      <c r="C183">
        <v>68547</v>
      </c>
      <c r="D183">
        <v>92.280979480752904</v>
      </c>
    </row>
    <row r="184" spans="1:4">
      <c r="A184" t="s">
        <v>823</v>
      </c>
      <c r="B184" t="s">
        <v>1008</v>
      </c>
      <c r="C184">
        <v>17770</v>
      </c>
      <c r="D184">
        <v>290457153.15999842</v>
      </c>
    </row>
    <row r="185" spans="1:4">
      <c r="A185" t="s">
        <v>823</v>
      </c>
      <c r="B185" t="s">
        <v>1009</v>
      </c>
      <c r="C185">
        <v>50777</v>
      </c>
      <c r="D185">
        <v>841286580.61000264</v>
      </c>
    </row>
    <row r="186" spans="1:4">
      <c r="A186" t="s">
        <v>823</v>
      </c>
      <c r="B186" t="s">
        <v>1010</v>
      </c>
      <c r="C186">
        <v>66098</v>
      </c>
      <c r="D186">
        <v>1081767010.3000033</v>
      </c>
    </row>
    <row r="187" spans="1:4">
      <c r="A187" t="s">
        <v>823</v>
      </c>
      <c r="B187" t="s">
        <v>1011</v>
      </c>
      <c r="C187">
        <v>2449</v>
      </c>
      <c r="D187">
        <v>49976723.470000014</v>
      </c>
    </row>
    <row r="188" spans="1:4">
      <c r="A188" t="s">
        <v>823</v>
      </c>
      <c r="B188" t="s">
        <v>1012</v>
      </c>
      <c r="C188">
        <v>68547</v>
      </c>
      <c r="D188">
        <v>1131743733.7700009</v>
      </c>
    </row>
    <row r="189" spans="1:4">
      <c r="A189" t="s">
        <v>823</v>
      </c>
      <c r="B189" t="s">
        <v>1013</v>
      </c>
      <c r="C189">
        <v>65492</v>
      </c>
      <c r="D189">
        <v>999778138.60000002</v>
      </c>
    </row>
    <row r="190" spans="1:4">
      <c r="A190" t="s">
        <v>823</v>
      </c>
      <c r="B190" t="s">
        <v>1014</v>
      </c>
      <c r="C190">
        <v>5</v>
      </c>
      <c r="D190">
        <v>19814.34</v>
      </c>
    </row>
    <row r="191" spans="1:4">
      <c r="A191" t="s">
        <v>823</v>
      </c>
      <c r="B191" t="s">
        <v>1015</v>
      </c>
      <c r="C191">
        <v>4</v>
      </c>
      <c r="D191">
        <v>17475.41</v>
      </c>
    </row>
    <row r="192" spans="1:4">
      <c r="A192" t="s">
        <v>823</v>
      </c>
      <c r="B192" t="s">
        <v>1016</v>
      </c>
      <c r="C192">
        <v>4</v>
      </c>
      <c r="D192">
        <v>15743.31</v>
      </c>
    </row>
    <row r="193" spans="1:4">
      <c r="A193" t="s">
        <v>823</v>
      </c>
      <c r="B193" t="s">
        <v>1017</v>
      </c>
      <c r="C193">
        <v>4</v>
      </c>
      <c r="D193">
        <v>13997.93</v>
      </c>
    </row>
    <row r="194" spans="1:4">
      <c r="A194" t="s">
        <v>823</v>
      </c>
      <c r="B194" t="s">
        <v>1018</v>
      </c>
      <c r="C194">
        <v>4</v>
      </c>
      <c r="D194">
        <v>12239.18</v>
      </c>
    </row>
    <row r="195" spans="1:4">
      <c r="A195" t="s">
        <v>823</v>
      </c>
      <c r="B195" t="s">
        <v>1019</v>
      </c>
      <c r="C195">
        <v>4</v>
      </c>
      <c r="D195">
        <v>10466.94</v>
      </c>
    </row>
    <row r="196" spans="1:4">
      <c r="A196" t="s">
        <v>823</v>
      </c>
      <c r="B196" t="s">
        <v>1020</v>
      </c>
      <c r="C196">
        <v>4</v>
      </c>
      <c r="D196">
        <v>8681.11</v>
      </c>
    </row>
    <row r="197" spans="1:4">
      <c r="A197" t="s">
        <v>823</v>
      </c>
      <c r="B197" t="s">
        <v>1021</v>
      </c>
      <c r="C197">
        <v>2</v>
      </c>
      <c r="D197">
        <v>6881.58</v>
      </c>
    </row>
    <row r="198" spans="1:4">
      <c r="A198" t="s">
        <v>823</v>
      </c>
      <c r="B198" t="s">
        <v>1022</v>
      </c>
      <c r="C198">
        <v>1</v>
      </c>
      <c r="D198">
        <v>6091.36</v>
      </c>
    </row>
    <row r="199" spans="1:4">
      <c r="A199" t="s">
        <v>823</v>
      </c>
      <c r="B199" t="s">
        <v>1023</v>
      </c>
      <c r="C199">
        <v>1</v>
      </c>
      <c r="D199">
        <v>5350.78</v>
      </c>
    </row>
    <row r="200" spans="1:4">
      <c r="A200" t="s">
        <v>823</v>
      </c>
      <c r="B200" t="s">
        <v>1024</v>
      </c>
      <c r="C200">
        <v>65218</v>
      </c>
      <c r="D200">
        <v>984906548.00999999</v>
      </c>
    </row>
    <row r="201" spans="1:4">
      <c r="A201" t="s">
        <v>823</v>
      </c>
      <c r="B201" t="s">
        <v>1025</v>
      </c>
      <c r="C201">
        <v>1</v>
      </c>
      <c r="D201">
        <v>4604.33</v>
      </c>
    </row>
    <row r="202" spans="1:4">
      <c r="A202" t="s">
        <v>823</v>
      </c>
      <c r="B202" t="s">
        <v>1026</v>
      </c>
      <c r="C202">
        <v>1</v>
      </c>
      <c r="D202">
        <v>3851.99</v>
      </c>
    </row>
    <row r="203" spans="1:4">
      <c r="A203" t="s">
        <v>823</v>
      </c>
      <c r="B203" t="s">
        <v>1027</v>
      </c>
      <c r="C203">
        <v>1</v>
      </c>
      <c r="D203">
        <v>3093.69</v>
      </c>
    </row>
    <row r="204" spans="1:4">
      <c r="A204" t="s">
        <v>823</v>
      </c>
      <c r="B204" t="s">
        <v>1028</v>
      </c>
      <c r="C204">
        <v>1</v>
      </c>
      <c r="D204">
        <v>2329.39</v>
      </c>
    </row>
    <row r="205" spans="1:4">
      <c r="A205" t="s">
        <v>823</v>
      </c>
      <c r="B205" t="s">
        <v>1029</v>
      </c>
      <c r="C205">
        <v>1</v>
      </c>
      <c r="D205">
        <v>1559.04</v>
      </c>
    </row>
    <row r="206" spans="1:4">
      <c r="A206" t="s">
        <v>823</v>
      </c>
      <c r="B206" t="s">
        <v>1030</v>
      </c>
      <c r="C206">
        <v>1</v>
      </c>
      <c r="D206">
        <v>782.59</v>
      </c>
    </row>
    <row r="207" spans="1:4">
      <c r="A207" t="s">
        <v>823</v>
      </c>
      <c r="B207" t="s">
        <v>1031</v>
      </c>
      <c r="C207">
        <v>0</v>
      </c>
      <c r="D207">
        <v>0</v>
      </c>
    </row>
    <row r="208" spans="1:4">
      <c r="A208" t="s">
        <v>823</v>
      </c>
      <c r="B208" t="s">
        <v>1032</v>
      </c>
      <c r="C208">
        <v>0</v>
      </c>
      <c r="D208">
        <v>0</v>
      </c>
    </row>
    <row r="209" spans="1:4">
      <c r="A209" t="s">
        <v>823</v>
      </c>
      <c r="B209" t="s">
        <v>1033</v>
      </c>
      <c r="C209">
        <v>64902</v>
      </c>
      <c r="D209">
        <v>969991023.49000001</v>
      </c>
    </row>
    <row r="210" spans="1:4">
      <c r="A210" t="s">
        <v>823</v>
      </c>
      <c r="B210" t="s">
        <v>1034</v>
      </c>
      <c r="C210">
        <v>64499</v>
      </c>
      <c r="D210">
        <v>955029729.45000005</v>
      </c>
    </row>
    <row r="211" spans="1:4">
      <c r="A211" t="s">
        <v>823</v>
      </c>
      <c r="B211" t="s">
        <v>1035</v>
      </c>
      <c r="C211">
        <v>64111</v>
      </c>
      <c r="D211">
        <v>940038789.97000003</v>
      </c>
    </row>
    <row r="212" spans="1:4">
      <c r="A212" t="s">
        <v>823</v>
      </c>
      <c r="B212" t="s">
        <v>1036</v>
      </c>
      <c r="C212">
        <v>63756</v>
      </c>
      <c r="D212">
        <v>925017884.87</v>
      </c>
    </row>
    <row r="213" spans="1:4">
      <c r="A213" t="s">
        <v>823</v>
      </c>
      <c r="B213" t="s">
        <v>1037</v>
      </c>
      <c r="C213">
        <v>63407</v>
      </c>
      <c r="D213">
        <v>909964230.42999995</v>
      </c>
    </row>
    <row r="214" spans="1:4">
      <c r="A214" t="s">
        <v>823</v>
      </c>
      <c r="B214" t="s">
        <v>1038</v>
      </c>
      <c r="C214">
        <v>63079</v>
      </c>
      <c r="D214">
        <v>894873482.17999995</v>
      </c>
    </row>
    <row r="215" spans="1:4">
      <c r="A215" t="s">
        <v>823</v>
      </c>
      <c r="B215" t="s">
        <v>1039</v>
      </c>
      <c r="C215">
        <v>62788</v>
      </c>
      <c r="D215">
        <v>879739130.61000001</v>
      </c>
    </row>
    <row r="216" spans="1:4">
      <c r="A216" t="s">
        <v>823</v>
      </c>
      <c r="B216" t="s">
        <v>1040</v>
      </c>
      <c r="C216">
        <v>62377</v>
      </c>
      <c r="D216">
        <v>864561387.71000004</v>
      </c>
    </row>
    <row r="217" spans="1:4">
      <c r="A217" t="s">
        <v>823</v>
      </c>
      <c r="B217" t="s">
        <v>1041</v>
      </c>
      <c r="C217">
        <v>67936</v>
      </c>
      <c r="D217">
        <v>1117263158.3199999</v>
      </c>
    </row>
    <row r="218" spans="1:4">
      <c r="A218" t="s">
        <v>823</v>
      </c>
      <c r="B218" t="s">
        <v>1042</v>
      </c>
      <c r="C218">
        <v>61899</v>
      </c>
      <c r="D218">
        <v>849365410.91999996</v>
      </c>
    </row>
    <row r="219" spans="1:4">
      <c r="A219" t="s">
        <v>823</v>
      </c>
      <c r="B219" t="s">
        <v>1043</v>
      </c>
      <c r="C219">
        <v>61594</v>
      </c>
      <c r="D219">
        <v>834170920.32000005</v>
      </c>
    </row>
    <row r="220" spans="1:4">
      <c r="A220" t="s">
        <v>823</v>
      </c>
      <c r="B220" t="s">
        <v>1044</v>
      </c>
      <c r="C220">
        <v>61300</v>
      </c>
      <c r="D220">
        <v>818935459.63</v>
      </c>
    </row>
    <row r="221" spans="1:4">
      <c r="A221" t="s">
        <v>823</v>
      </c>
      <c r="B221" t="s">
        <v>1045</v>
      </c>
      <c r="C221">
        <v>61015</v>
      </c>
      <c r="D221">
        <v>803655698.75999999</v>
      </c>
    </row>
    <row r="222" spans="1:4">
      <c r="A222" t="s">
        <v>823</v>
      </c>
      <c r="B222" t="s">
        <v>1046</v>
      </c>
      <c r="C222">
        <v>60597</v>
      </c>
      <c r="D222">
        <v>788333346.42999995</v>
      </c>
    </row>
    <row r="223" spans="1:4">
      <c r="A223" t="s">
        <v>823</v>
      </c>
      <c r="B223" t="s">
        <v>1047</v>
      </c>
      <c r="C223">
        <v>60104</v>
      </c>
      <c r="D223">
        <v>772990538.53999996</v>
      </c>
    </row>
    <row r="224" spans="1:4">
      <c r="A224" t="s">
        <v>823</v>
      </c>
      <c r="B224" t="s">
        <v>1048</v>
      </c>
      <c r="C224">
        <v>59630</v>
      </c>
      <c r="D224">
        <v>757641583.64999998</v>
      </c>
    </row>
    <row r="225" spans="1:4">
      <c r="A225" t="s">
        <v>823</v>
      </c>
      <c r="B225" t="s">
        <v>1049</v>
      </c>
      <c r="C225">
        <v>59186</v>
      </c>
      <c r="D225">
        <v>742290134.75999999</v>
      </c>
    </row>
    <row r="226" spans="1:4">
      <c r="A226" t="s">
        <v>823</v>
      </c>
      <c r="B226" t="s">
        <v>1050</v>
      </c>
      <c r="C226">
        <v>58815</v>
      </c>
      <c r="D226">
        <v>726926251.75</v>
      </c>
    </row>
    <row r="227" spans="1:4">
      <c r="A227" t="s">
        <v>823</v>
      </c>
      <c r="B227" t="s">
        <v>1051</v>
      </c>
      <c r="C227">
        <v>58413</v>
      </c>
      <c r="D227">
        <v>711532324.17999995</v>
      </c>
    </row>
    <row r="228" spans="1:4">
      <c r="A228" t="s">
        <v>823</v>
      </c>
      <c r="B228" t="s">
        <v>1052</v>
      </c>
      <c r="C228">
        <v>67615</v>
      </c>
      <c r="D228">
        <v>1102718286.48</v>
      </c>
    </row>
    <row r="229" spans="1:4">
      <c r="A229" t="s">
        <v>823</v>
      </c>
      <c r="B229" t="s">
        <v>1053</v>
      </c>
      <c r="C229">
        <v>58074</v>
      </c>
      <c r="D229">
        <v>696120393.78999996</v>
      </c>
    </row>
    <row r="230" spans="1:4">
      <c r="A230" t="s">
        <v>823</v>
      </c>
      <c r="B230" t="s">
        <v>1054</v>
      </c>
      <c r="C230">
        <v>57575</v>
      </c>
      <c r="D230">
        <v>680680940.08000004</v>
      </c>
    </row>
    <row r="231" spans="1:4">
      <c r="A231" t="s">
        <v>823</v>
      </c>
      <c r="B231" t="s">
        <v>1055</v>
      </c>
      <c r="C231">
        <v>56992</v>
      </c>
      <c r="D231">
        <v>665257192.96000004</v>
      </c>
    </row>
    <row r="232" spans="1:4">
      <c r="A232" t="s">
        <v>823</v>
      </c>
      <c r="B232" t="s">
        <v>1056</v>
      </c>
      <c r="C232">
        <v>56638</v>
      </c>
      <c r="D232">
        <v>649858950.54999995</v>
      </c>
    </row>
    <row r="233" spans="1:4">
      <c r="A233" t="s">
        <v>823</v>
      </c>
      <c r="B233" t="s">
        <v>1057</v>
      </c>
      <c r="C233">
        <v>56261</v>
      </c>
      <c r="D233">
        <v>634439653.65999997</v>
      </c>
    </row>
    <row r="234" spans="1:4">
      <c r="A234" t="s">
        <v>823</v>
      </c>
      <c r="B234" t="s">
        <v>1058</v>
      </c>
      <c r="C234">
        <v>55888</v>
      </c>
      <c r="D234">
        <v>619006731.88</v>
      </c>
    </row>
    <row r="235" spans="1:4">
      <c r="A235" t="s">
        <v>823</v>
      </c>
      <c r="B235" t="s">
        <v>1059</v>
      </c>
      <c r="C235">
        <v>55421</v>
      </c>
      <c r="D235">
        <v>603552215.41999996</v>
      </c>
    </row>
    <row r="236" spans="1:4">
      <c r="A236" t="s">
        <v>823</v>
      </c>
      <c r="B236" t="s">
        <v>1060</v>
      </c>
      <c r="C236">
        <v>54955</v>
      </c>
      <c r="D236">
        <v>588105827.13999999</v>
      </c>
    </row>
    <row r="237" spans="1:4">
      <c r="A237" t="s">
        <v>823</v>
      </c>
      <c r="B237" t="s">
        <v>1061</v>
      </c>
      <c r="C237">
        <v>54485</v>
      </c>
      <c r="D237">
        <v>572661047.13</v>
      </c>
    </row>
    <row r="238" spans="1:4">
      <c r="A238" t="s">
        <v>823</v>
      </c>
      <c r="B238" t="s">
        <v>1062</v>
      </c>
      <c r="C238">
        <v>54095</v>
      </c>
      <c r="D238">
        <v>557222209.35000002</v>
      </c>
    </row>
    <row r="239" spans="1:4">
      <c r="A239" t="s">
        <v>823</v>
      </c>
      <c r="B239" t="s">
        <v>1063</v>
      </c>
      <c r="C239">
        <v>67324</v>
      </c>
      <c r="D239">
        <v>1088138074.5599999</v>
      </c>
    </row>
    <row r="240" spans="1:4">
      <c r="A240" t="s">
        <v>823</v>
      </c>
      <c r="B240" t="s">
        <v>1064</v>
      </c>
      <c r="C240">
        <v>53688</v>
      </c>
      <c r="D240">
        <v>541773526.00999999</v>
      </c>
    </row>
    <row r="241" spans="1:4">
      <c r="A241" t="s">
        <v>823</v>
      </c>
      <c r="B241" t="s">
        <v>1065</v>
      </c>
      <c r="C241">
        <v>53266</v>
      </c>
      <c r="D241">
        <v>526318770.43000001</v>
      </c>
    </row>
    <row r="242" spans="1:4">
      <c r="A242" t="s">
        <v>823</v>
      </c>
      <c r="B242" t="s">
        <v>1066</v>
      </c>
      <c r="C242">
        <v>52919</v>
      </c>
      <c r="D242">
        <v>510853683.13</v>
      </c>
    </row>
    <row r="243" spans="1:4">
      <c r="A243" t="s">
        <v>823</v>
      </c>
      <c r="B243" t="s">
        <v>1067</v>
      </c>
      <c r="C243">
        <v>52376</v>
      </c>
      <c r="D243">
        <v>495376145.63</v>
      </c>
    </row>
    <row r="244" spans="1:4">
      <c r="A244" t="s">
        <v>823</v>
      </c>
      <c r="B244" t="s">
        <v>1068</v>
      </c>
      <c r="C244">
        <v>51748</v>
      </c>
      <c r="D244">
        <v>479923275.67000002</v>
      </c>
    </row>
    <row r="245" spans="1:4">
      <c r="A245" t="s">
        <v>823</v>
      </c>
      <c r="B245" t="s">
        <v>1069</v>
      </c>
      <c r="C245">
        <v>51334</v>
      </c>
      <c r="D245">
        <v>464523128.08999997</v>
      </c>
    </row>
    <row r="246" spans="1:4">
      <c r="A246" t="s">
        <v>823</v>
      </c>
      <c r="B246" t="s">
        <v>1070</v>
      </c>
      <c r="C246">
        <v>50901</v>
      </c>
      <c r="D246">
        <v>449120744.17000002</v>
      </c>
    </row>
    <row r="247" spans="1:4">
      <c r="A247" t="s">
        <v>823</v>
      </c>
      <c r="B247" t="s">
        <v>1071</v>
      </c>
      <c r="C247">
        <v>50462</v>
      </c>
      <c r="D247">
        <v>433734540.83999997</v>
      </c>
    </row>
    <row r="248" spans="1:4">
      <c r="A248" t="s">
        <v>823</v>
      </c>
      <c r="B248" t="s">
        <v>1072</v>
      </c>
      <c r="C248">
        <v>49907</v>
      </c>
      <c r="D248">
        <v>418359193.11000001</v>
      </c>
    </row>
    <row r="249" spans="1:4">
      <c r="A249" t="s">
        <v>823</v>
      </c>
      <c r="B249" t="s">
        <v>1073</v>
      </c>
      <c r="C249">
        <v>49423</v>
      </c>
      <c r="D249">
        <v>403023226.72000003</v>
      </c>
    </row>
    <row r="250" spans="1:4">
      <c r="A250" t="s">
        <v>823</v>
      </c>
      <c r="B250" t="s">
        <v>1074</v>
      </c>
      <c r="C250">
        <v>67021</v>
      </c>
      <c r="D250">
        <v>1073511615.7</v>
      </c>
    </row>
    <row r="251" spans="1:4">
      <c r="A251" t="s">
        <v>823</v>
      </c>
      <c r="B251" t="s">
        <v>1075</v>
      </c>
      <c r="C251">
        <v>48941</v>
      </c>
      <c r="D251">
        <v>387712852.24000001</v>
      </c>
    </row>
    <row r="252" spans="1:4">
      <c r="A252" t="s">
        <v>823</v>
      </c>
      <c r="B252" t="s">
        <v>1076</v>
      </c>
      <c r="C252">
        <v>48478</v>
      </c>
      <c r="D252">
        <v>372414067.68000001</v>
      </c>
    </row>
    <row r="253" spans="1:4">
      <c r="A253" t="s">
        <v>823</v>
      </c>
      <c r="B253" t="s">
        <v>1077</v>
      </c>
      <c r="C253">
        <v>47970</v>
      </c>
      <c r="D253">
        <v>357129058.95999998</v>
      </c>
    </row>
    <row r="254" spans="1:4">
      <c r="A254" t="s">
        <v>823</v>
      </c>
      <c r="B254" t="s">
        <v>1078</v>
      </c>
      <c r="C254">
        <v>47403</v>
      </c>
      <c r="D254">
        <v>341877064.25999999</v>
      </c>
    </row>
    <row r="255" spans="1:4">
      <c r="A255" t="s">
        <v>823</v>
      </c>
      <c r="B255" t="s">
        <v>1079</v>
      </c>
      <c r="C255">
        <v>46953</v>
      </c>
      <c r="D255">
        <v>326677123.56999999</v>
      </c>
    </row>
    <row r="256" spans="1:4">
      <c r="A256" t="s">
        <v>823</v>
      </c>
      <c r="B256" t="s">
        <v>1080</v>
      </c>
      <c r="C256">
        <v>46306</v>
      </c>
      <c r="D256">
        <v>311506925.43000001</v>
      </c>
    </row>
    <row r="257" spans="1:4">
      <c r="A257" t="s">
        <v>823</v>
      </c>
      <c r="B257" t="s">
        <v>1081</v>
      </c>
      <c r="C257">
        <v>45618</v>
      </c>
      <c r="D257">
        <v>296421496.83999997</v>
      </c>
    </row>
    <row r="258" spans="1:4">
      <c r="A258" t="s">
        <v>823</v>
      </c>
      <c r="B258" t="s">
        <v>1082</v>
      </c>
      <c r="C258">
        <v>45060</v>
      </c>
      <c r="D258">
        <v>281430009.50999999</v>
      </c>
    </row>
    <row r="259" spans="1:4">
      <c r="A259" t="s">
        <v>823</v>
      </c>
      <c r="B259" t="s">
        <v>1083</v>
      </c>
      <c r="C259">
        <v>44488</v>
      </c>
      <c r="D259">
        <v>266502043.19</v>
      </c>
    </row>
    <row r="260" spans="1:4">
      <c r="A260" t="s">
        <v>823</v>
      </c>
      <c r="B260" t="s">
        <v>1084</v>
      </c>
      <c r="C260">
        <v>43775</v>
      </c>
      <c r="D260">
        <v>251651344.69</v>
      </c>
    </row>
    <row r="261" spans="1:4">
      <c r="A261" t="s">
        <v>823</v>
      </c>
      <c r="B261" t="s">
        <v>1085</v>
      </c>
      <c r="C261">
        <v>66755</v>
      </c>
      <c r="D261">
        <v>1058841354.17</v>
      </c>
    </row>
    <row r="262" spans="1:4">
      <c r="A262" t="s">
        <v>823</v>
      </c>
      <c r="B262" t="s">
        <v>1086</v>
      </c>
      <c r="C262">
        <v>42772</v>
      </c>
      <c r="D262">
        <v>236922728.84</v>
      </c>
    </row>
    <row r="263" spans="1:4">
      <c r="A263" t="s">
        <v>823</v>
      </c>
      <c r="B263" t="s">
        <v>1087</v>
      </c>
      <c r="C263">
        <v>41744</v>
      </c>
      <c r="D263">
        <v>222366074.96000001</v>
      </c>
    </row>
    <row r="264" spans="1:4">
      <c r="A264" t="s">
        <v>823</v>
      </c>
      <c r="B264" t="s">
        <v>1088</v>
      </c>
      <c r="C264">
        <v>40684</v>
      </c>
      <c r="D264">
        <v>207992744.13</v>
      </c>
    </row>
    <row r="265" spans="1:4">
      <c r="A265" t="s">
        <v>823</v>
      </c>
      <c r="B265" t="s">
        <v>1089</v>
      </c>
      <c r="C265">
        <v>39775</v>
      </c>
      <c r="D265">
        <v>193838383.19999999</v>
      </c>
    </row>
    <row r="266" spans="1:4">
      <c r="A266" t="s">
        <v>823</v>
      </c>
      <c r="B266" t="s">
        <v>1090</v>
      </c>
      <c r="C266">
        <v>38891</v>
      </c>
      <c r="D266">
        <v>179885695.34999999</v>
      </c>
    </row>
    <row r="267" spans="1:4">
      <c r="A267" t="s">
        <v>823</v>
      </c>
      <c r="B267" t="s">
        <v>1091</v>
      </c>
      <c r="C267">
        <v>38005</v>
      </c>
      <c r="D267">
        <v>166119599.53</v>
      </c>
    </row>
    <row r="268" spans="1:4">
      <c r="A268" t="s">
        <v>823</v>
      </c>
      <c r="B268" t="s">
        <v>1092</v>
      </c>
      <c r="C268">
        <v>37236</v>
      </c>
      <c r="D268">
        <v>152518491.62</v>
      </c>
    </row>
    <row r="269" spans="1:4">
      <c r="A269" t="s">
        <v>823</v>
      </c>
      <c r="B269" t="s">
        <v>1093</v>
      </c>
      <c r="C269">
        <v>36084</v>
      </c>
      <c r="D269">
        <v>139059496.40000001</v>
      </c>
    </row>
    <row r="270" spans="1:4">
      <c r="A270" t="s">
        <v>823</v>
      </c>
      <c r="B270" t="s">
        <v>1094</v>
      </c>
      <c r="C270">
        <v>34698</v>
      </c>
      <c r="D270">
        <v>125883587.81999999</v>
      </c>
    </row>
    <row r="271" spans="1:4">
      <c r="A271" t="s">
        <v>823</v>
      </c>
      <c r="B271" t="s">
        <v>1095</v>
      </c>
      <c r="C271">
        <v>33566</v>
      </c>
      <c r="D271">
        <v>113106360.16</v>
      </c>
    </row>
    <row r="272" spans="1:4">
      <c r="A272" t="s">
        <v>823</v>
      </c>
      <c r="B272" t="s">
        <v>1096</v>
      </c>
      <c r="C272">
        <v>66400</v>
      </c>
      <c r="D272">
        <v>1044121458.05</v>
      </c>
    </row>
    <row r="273" spans="1:4">
      <c r="A273" t="s">
        <v>823</v>
      </c>
      <c r="B273" t="s">
        <v>1097</v>
      </c>
      <c r="C273">
        <v>32414</v>
      </c>
      <c r="D273">
        <v>100668949</v>
      </c>
    </row>
    <row r="274" spans="1:4">
      <c r="A274" t="s">
        <v>823</v>
      </c>
      <c r="B274" t="s">
        <v>1098</v>
      </c>
      <c r="C274">
        <v>30904</v>
      </c>
      <c r="D274">
        <v>88566206.790000007</v>
      </c>
    </row>
    <row r="275" spans="1:4">
      <c r="A275" t="s">
        <v>823</v>
      </c>
      <c r="B275" t="s">
        <v>1099</v>
      </c>
      <c r="C275">
        <v>28528</v>
      </c>
      <c r="D275">
        <v>76932701.390000001</v>
      </c>
    </row>
    <row r="276" spans="1:4">
      <c r="A276" t="s">
        <v>823</v>
      </c>
      <c r="B276" t="s">
        <v>1100</v>
      </c>
      <c r="C276">
        <v>25794</v>
      </c>
      <c r="D276">
        <v>66102029.68</v>
      </c>
    </row>
    <row r="277" spans="1:4">
      <c r="A277" t="s">
        <v>823</v>
      </c>
      <c r="B277" t="s">
        <v>1101</v>
      </c>
      <c r="C277">
        <v>23164</v>
      </c>
      <c r="D277">
        <v>56225509.590000004</v>
      </c>
    </row>
    <row r="278" spans="1:4">
      <c r="A278" t="s">
        <v>823</v>
      </c>
      <c r="B278" t="s">
        <v>1102</v>
      </c>
      <c r="C278">
        <v>20964</v>
      </c>
      <c r="D278">
        <v>47290004.060000002</v>
      </c>
    </row>
    <row r="279" spans="1:4">
      <c r="A279" t="s">
        <v>823</v>
      </c>
      <c r="B279" t="s">
        <v>1103</v>
      </c>
      <c r="C279">
        <v>18779</v>
      </c>
      <c r="D279">
        <v>39129304.380000003</v>
      </c>
    </row>
    <row r="280" spans="1:4">
      <c r="A280" t="s">
        <v>823</v>
      </c>
      <c r="B280" t="s">
        <v>1104</v>
      </c>
      <c r="C280">
        <v>16708</v>
      </c>
      <c r="D280">
        <v>31740122.129999999</v>
      </c>
    </row>
    <row r="281" spans="1:4">
      <c r="A281" t="s">
        <v>823</v>
      </c>
      <c r="B281" t="s">
        <v>1105</v>
      </c>
      <c r="C281">
        <v>14991</v>
      </c>
      <c r="D281">
        <v>25070964.350000001</v>
      </c>
    </row>
    <row r="282" spans="1:4">
      <c r="A282" t="s">
        <v>823</v>
      </c>
      <c r="B282" t="s">
        <v>1106</v>
      </c>
      <c r="C282">
        <v>11832</v>
      </c>
      <c r="D282">
        <v>19019761.329999998</v>
      </c>
    </row>
    <row r="283" spans="1:4">
      <c r="A283" t="s">
        <v>823</v>
      </c>
      <c r="B283" t="s">
        <v>1107</v>
      </c>
      <c r="C283">
        <v>66038</v>
      </c>
      <c r="D283">
        <v>1029372429.71</v>
      </c>
    </row>
    <row r="284" spans="1:4">
      <c r="A284" t="s">
        <v>823</v>
      </c>
      <c r="B284" t="s">
        <v>1108</v>
      </c>
      <c r="C284">
        <v>8333</v>
      </c>
      <c r="D284">
        <v>14195092.960000001</v>
      </c>
    </row>
    <row r="285" spans="1:4">
      <c r="A285" t="s">
        <v>823</v>
      </c>
      <c r="B285" t="s">
        <v>1109</v>
      </c>
      <c r="C285">
        <v>6726</v>
      </c>
      <c r="D285">
        <v>10741870.99</v>
      </c>
    </row>
    <row r="286" spans="1:4">
      <c r="A286" t="s">
        <v>823</v>
      </c>
      <c r="B286" t="s">
        <v>1110</v>
      </c>
      <c r="C286">
        <v>5226</v>
      </c>
      <c r="D286">
        <v>7919338.3799999999</v>
      </c>
    </row>
    <row r="287" spans="1:4">
      <c r="A287" t="s">
        <v>823</v>
      </c>
      <c r="B287" t="s">
        <v>1111</v>
      </c>
      <c r="C287">
        <v>3937</v>
      </c>
      <c r="D287">
        <v>5692979.6399999997</v>
      </c>
    </row>
    <row r="288" spans="1:4">
      <c r="A288" t="s">
        <v>823</v>
      </c>
      <c r="B288" t="s">
        <v>1112</v>
      </c>
      <c r="C288">
        <v>2795</v>
      </c>
      <c r="D288">
        <v>3967415.7</v>
      </c>
    </row>
    <row r="289" spans="1:4">
      <c r="A289" t="s">
        <v>823</v>
      </c>
      <c r="B289" t="s">
        <v>1113</v>
      </c>
      <c r="C289">
        <v>1891</v>
      </c>
      <c r="D289">
        <v>2689699.06</v>
      </c>
    </row>
    <row r="290" spans="1:4">
      <c r="A290" t="s">
        <v>823</v>
      </c>
      <c r="B290" t="s">
        <v>1114</v>
      </c>
      <c r="C290">
        <v>1263</v>
      </c>
      <c r="D290">
        <v>1787243.36</v>
      </c>
    </row>
    <row r="291" spans="1:4">
      <c r="A291" t="s">
        <v>823</v>
      </c>
      <c r="B291" t="s">
        <v>1115</v>
      </c>
      <c r="C291">
        <v>704</v>
      </c>
      <c r="D291">
        <v>1163990.8899999999</v>
      </c>
    </row>
    <row r="292" spans="1:4">
      <c r="A292" t="s">
        <v>823</v>
      </c>
      <c r="B292" t="s">
        <v>1116</v>
      </c>
      <c r="C292">
        <v>497</v>
      </c>
      <c r="D292">
        <v>799079.18</v>
      </c>
    </row>
    <row r="293" spans="1:4">
      <c r="A293" t="s">
        <v>823</v>
      </c>
      <c r="B293" t="s">
        <v>1117</v>
      </c>
      <c r="C293">
        <v>360</v>
      </c>
      <c r="D293">
        <v>544204.68999999994</v>
      </c>
    </row>
    <row r="294" spans="1:4">
      <c r="A294" t="s">
        <v>823</v>
      </c>
      <c r="B294" t="s">
        <v>1118</v>
      </c>
      <c r="C294">
        <v>65747</v>
      </c>
      <c r="D294">
        <v>1014596416.14</v>
      </c>
    </row>
    <row r="295" spans="1:4">
      <c r="A295" t="s">
        <v>823</v>
      </c>
      <c r="B295" t="s">
        <v>1119</v>
      </c>
      <c r="C295">
        <v>269</v>
      </c>
      <c r="D295">
        <v>363399.74</v>
      </c>
    </row>
    <row r="296" spans="1:4">
      <c r="A296" t="s">
        <v>823</v>
      </c>
      <c r="B296" t="s">
        <v>1120</v>
      </c>
      <c r="C296">
        <v>172</v>
      </c>
      <c r="D296">
        <v>229819.17</v>
      </c>
    </row>
    <row r="297" spans="1:4">
      <c r="A297" t="s">
        <v>823</v>
      </c>
      <c r="B297" t="s">
        <v>1121</v>
      </c>
      <c r="C297">
        <v>118</v>
      </c>
      <c r="D297">
        <v>144509.89000000001</v>
      </c>
    </row>
    <row r="298" spans="1:4">
      <c r="A298" t="s">
        <v>823</v>
      </c>
      <c r="B298" t="s">
        <v>1122</v>
      </c>
      <c r="C298">
        <v>66</v>
      </c>
      <c r="D298">
        <v>87385.85</v>
      </c>
    </row>
    <row r="299" spans="1:4">
      <c r="A299" t="s">
        <v>823</v>
      </c>
      <c r="B299" t="s">
        <v>1123</v>
      </c>
      <c r="C299">
        <v>34</v>
      </c>
      <c r="D299">
        <v>54278.62</v>
      </c>
    </row>
    <row r="300" spans="1:4">
      <c r="A300" t="s">
        <v>823</v>
      </c>
      <c r="B300" t="s">
        <v>1124</v>
      </c>
      <c r="C300">
        <v>16</v>
      </c>
      <c r="D300">
        <v>38899.25</v>
      </c>
    </row>
    <row r="301" spans="1:4">
      <c r="A301" t="s">
        <v>823</v>
      </c>
      <c r="B301" t="s">
        <v>1125</v>
      </c>
      <c r="C301">
        <v>11</v>
      </c>
      <c r="D301">
        <v>32172.18</v>
      </c>
    </row>
    <row r="302" spans="1:4">
      <c r="A302" t="s">
        <v>823</v>
      </c>
      <c r="B302" t="s">
        <v>1126</v>
      </c>
      <c r="C302">
        <v>7</v>
      </c>
      <c r="D302">
        <v>27618.9</v>
      </c>
    </row>
    <row r="303" spans="1:4">
      <c r="A303" t="s">
        <v>823</v>
      </c>
      <c r="B303" t="s">
        <v>1127</v>
      </c>
      <c r="C303">
        <v>6</v>
      </c>
      <c r="D303">
        <v>24597.439999999999</v>
      </c>
    </row>
    <row r="304" spans="1:4">
      <c r="A304" t="s">
        <v>823</v>
      </c>
      <c r="B304" t="s">
        <v>1128</v>
      </c>
      <c r="C304">
        <v>5</v>
      </c>
      <c r="D304">
        <v>22133.8</v>
      </c>
    </row>
    <row r="305" spans="1:4">
      <c r="A305" t="s">
        <v>823</v>
      </c>
      <c r="B305" t="s">
        <v>1129</v>
      </c>
      <c r="C305">
        <v>2102</v>
      </c>
      <c r="D305">
        <v>1301424.4899999988</v>
      </c>
    </row>
    <row r="306" spans="1:4">
      <c r="A306" t="s">
        <v>823</v>
      </c>
      <c r="B306" t="s">
        <v>1130</v>
      </c>
      <c r="C306">
        <v>2291</v>
      </c>
      <c r="D306">
        <v>4482697.4999999981</v>
      </c>
    </row>
    <row r="307" spans="1:4">
      <c r="A307" t="s">
        <v>823</v>
      </c>
      <c r="B307" t="s">
        <v>1131</v>
      </c>
      <c r="C307">
        <v>2521</v>
      </c>
      <c r="D307">
        <v>8588084.2000000067</v>
      </c>
    </row>
    <row r="308" spans="1:4">
      <c r="A308" t="s">
        <v>823</v>
      </c>
      <c r="B308" t="s">
        <v>1132</v>
      </c>
      <c r="C308">
        <v>2779</v>
      </c>
      <c r="D308">
        <v>13310577.980000008</v>
      </c>
    </row>
    <row r="309" spans="1:4">
      <c r="A309" t="s">
        <v>823</v>
      </c>
      <c r="B309" t="s">
        <v>1133</v>
      </c>
      <c r="C309">
        <v>2928</v>
      </c>
      <c r="D309">
        <v>19530019.99999994</v>
      </c>
    </row>
    <row r="310" spans="1:4">
      <c r="A310" t="s">
        <v>823</v>
      </c>
      <c r="B310" t="s">
        <v>1134</v>
      </c>
      <c r="C310">
        <v>2971</v>
      </c>
      <c r="D310">
        <v>24664032.839999985</v>
      </c>
    </row>
    <row r="311" spans="1:4">
      <c r="A311" t="s">
        <v>823</v>
      </c>
      <c r="B311" t="s">
        <v>1135</v>
      </c>
      <c r="C311">
        <v>3496</v>
      </c>
      <c r="D311">
        <v>36354002.109999925</v>
      </c>
    </row>
    <row r="312" spans="1:4">
      <c r="A312" t="s">
        <v>823</v>
      </c>
      <c r="B312" t="s">
        <v>1136</v>
      </c>
      <c r="C312">
        <v>3807</v>
      </c>
      <c r="D312">
        <v>47952346.370000072</v>
      </c>
    </row>
    <row r="313" spans="1:4">
      <c r="A313" t="s">
        <v>823</v>
      </c>
      <c r="B313" t="s">
        <v>1137</v>
      </c>
      <c r="C313">
        <v>5849</v>
      </c>
      <c r="D313">
        <v>88988592.730000108</v>
      </c>
    </row>
    <row r="314" spans="1:4">
      <c r="A314" t="s">
        <v>823</v>
      </c>
      <c r="B314" t="s">
        <v>1138</v>
      </c>
      <c r="C314">
        <v>7364</v>
      </c>
      <c r="D314">
        <v>135355544.30999956</v>
      </c>
    </row>
    <row r="315" spans="1:4">
      <c r="A315" t="s">
        <v>823</v>
      </c>
      <c r="B315" t="s">
        <v>1139</v>
      </c>
      <c r="C315">
        <v>15717</v>
      </c>
      <c r="D315">
        <v>335498997.30000037</v>
      </c>
    </row>
    <row r="316" spans="1:4">
      <c r="A316" t="s">
        <v>823</v>
      </c>
      <c r="B316" t="s">
        <v>1140</v>
      </c>
      <c r="C316">
        <v>13923</v>
      </c>
      <c r="D316">
        <v>334041090.74999994</v>
      </c>
    </row>
    <row r="317" spans="1:4">
      <c r="A317" t="s">
        <v>823</v>
      </c>
      <c r="B317" t="s">
        <v>1141</v>
      </c>
      <c r="C317">
        <v>2627</v>
      </c>
      <c r="D317">
        <v>76112239.550000012</v>
      </c>
    </row>
    <row r="318" spans="1:4">
      <c r="A318" t="s">
        <v>823</v>
      </c>
      <c r="B318" t="s">
        <v>1142</v>
      </c>
      <c r="C318">
        <v>166</v>
      </c>
      <c r="D318">
        <v>5377356.4000000013</v>
      </c>
    </row>
    <row r="319" spans="1:4">
      <c r="A319" t="s">
        <v>823</v>
      </c>
      <c r="B319" t="s">
        <v>1143</v>
      </c>
      <c r="C319">
        <v>6</v>
      </c>
      <c r="D319">
        <v>186727.24000000002</v>
      </c>
    </row>
    <row r="320" spans="1:4">
      <c r="A320" t="s">
        <v>823</v>
      </c>
      <c r="B320" t="s">
        <v>1144</v>
      </c>
      <c r="C320">
        <v>68547</v>
      </c>
      <c r="D320">
        <v>69.461251857628156</v>
      </c>
    </row>
    <row r="321" spans="1:4">
      <c r="A321" t="s">
        <v>974</v>
      </c>
      <c r="B321" t="s">
        <v>1145</v>
      </c>
      <c r="C321">
        <v>0</v>
      </c>
      <c r="D321">
        <v>0</v>
      </c>
    </row>
    <row r="322" spans="1:4">
      <c r="A322" t="s">
        <v>974</v>
      </c>
      <c r="B322" t="s">
        <v>1146</v>
      </c>
      <c r="C322">
        <v>0</v>
      </c>
      <c r="D322">
        <v>0</v>
      </c>
    </row>
    <row r="323" spans="1:4">
      <c r="A323" t="s">
        <v>974</v>
      </c>
      <c r="B323" t="s">
        <v>1147</v>
      </c>
      <c r="C323">
        <v>0</v>
      </c>
      <c r="D323">
        <v>0</v>
      </c>
    </row>
    <row r="324" spans="1:4">
      <c r="A324" t="s">
        <v>823</v>
      </c>
      <c r="B324" t="s">
        <v>1148</v>
      </c>
      <c r="C324">
        <v>561</v>
      </c>
      <c r="D324">
        <v>12162454.799999997</v>
      </c>
    </row>
    <row r="325" spans="1:4">
      <c r="A325" t="s">
        <v>823</v>
      </c>
      <c r="B325" t="s">
        <v>1149</v>
      </c>
      <c r="C325">
        <v>3365</v>
      </c>
      <c r="D325">
        <v>56718617.710000008</v>
      </c>
    </row>
    <row r="326" spans="1:4">
      <c r="A326" t="s">
        <v>823</v>
      </c>
      <c r="B326" t="s">
        <v>1150</v>
      </c>
      <c r="C326">
        <v>7277</v>
      </c>
      <c r="D326">
        <v>125676599.70999999</v>
      </c>
    </row>
    <row r="327" spans="1:4">
      <c r="A327" t="s">
        <v>823</v>
      </c>
      <c r="B327" t="s">
        <v>1151</v>
      </c>
      <c r="C327">
        <v>15255</v>
      </c>
      <c r="D327">
        <v>274029791.59999955</v>
      </c>
    </row>
    <row r="328" spans="1:4">
      <c r="A328" t="s">
        <v>823</v>
      </c>
      <c r="B328" t="s">
        <v>1152</v>
      </c>
      <c r="C328">
        <v>12079</v>
      </c>
      <c r="D328">
        <v>188524713.75000027</v>
      </c>
    </row>
    <row r="329" spans="1:4">
      <c r="A329" t="s">
        <v>823</v>
      </c>
      <c r="B329" t="s">
        <v>1153</v>
      </c>
      <c r="C329">
        <v>14633</v>
      </c>
      <c r="D329">
        <v>243410927.27000046</v>
      </c>
    </row>
    <row r="330" spans="1:4">
      <c r="A330" t="s">
        <v>823</v>
      </c>
      <c r="B330" t="s">
        <v>1154</v>
      </c>
      <c r="C330">
        <v>5284</v>
      </c>
      <c r="D330">
        <v>85981397.929999769</v>
      </c>
    </row>
    <row r="331" spans="1:4">
      <c r="A331" t="s">
        <v>823</v>
      </c>
      <c r="B331" t="s">
        <v>1155</v>
      </c>
      <c r="C331">
        <v>3039</v>
      </c>
      <c r="D331">
        <v>49791176.870000072</v>
      </c>
    </row>
    <row r="332" spans="1:4">
      <c r="A332" t="s">
        <v>823</v>
      </c>
      <c r="B332" t="s">
        <v>1156</v>
      </c>
      <c r="C332">
        <v>2264</v>
      </c>
      <c r="D332">
        <v>33770497.100000039</v>
      </c>
    </row>
    <row r="333" spans="1:4">
      <c r="A333" t="s">
        <v>823</v>
      </c>
      <c r="B333" t="s">
        <v>1157</v>
      </c>
      <c r="C333">
        <v>1881</v>
      </c>
      <c r="D333">
        <v>25610958.469999958</v>
      </c>
    </row>
    <row r="334" spans="1:4">
      <c r="A334" t="s">
        <v>823</v>
      </c>
      <c r="B334" t="s">
        <v>1158</v>
      </c>
      <c r="C334">
        <v>1210</v>
      </c>
      <c r="D334">
        <v>17757004.579999991</v>
      </c>
    </row>
    <row r="335" spans="1:4">
      <c r="A335" t="s">
        <v>823</v>
      </c>
      <c r="B335" t="s">
        <v>1159</v>
      </c>
      <c r="C335">
        <v>757</v>
      </c>
      <c r="D335">
        <v>9445442.1799999978</v>
      </c>
    </row>
    <row r="336" spans="1:4">
      <c r="A336" t="s">
        <v>823</v>
      </c>
      <c r="B336" t="s">
        <v>1160</v>
      </c>
      <c r="C336">
        <v>504</v>
      </c>
      <c r="D336">
        <v>5454894.6599999946</v>
      </c>
    </row>
    <row r="337" spans="1:4">
      <c r="A337" t="s">
        <v>823</v>
      </c>
      <c r="B337" t="s">
        <v>1161</v>
      </c>
      <c r="C337">
        <v>106</v>
      </c>
      <c r="D337">
        <v>1233242.6300000004</v>
      </c>
    </row>
    <row r="338" spans="1:4">
      <c r="A338" t="s">
        <v>823</v>
      </c>
      <c r="B338" t="s">
        <v>1162</v>
      </c>
      <c r="C338">
        <v>73</v>
      </c>
      <c r="D338">
        <v>624225.33000000007</v>
      </c>
    </row>
    <row r="339" spans="1:4">
      <c r="A339" t="s">
        <v>823</v>
      </c>
      <c r="B339" t="s">
        <v>1163</v>
      </c>
      <c r="C339">
        <v>54</v>
      </c>
      <c r="D339">
        <v>406085.07</v>
      </c>
    </row>
    <row r="340" spans="1:4">
      <c r="A340" t="s">
        <v>823</v>
      </c>
      <c r="B340" t="s">
        <v>1164</v>
      </c>
      <c r="C340">
        <v>66</v>
      </c>
      <c r="D340">
        <v>497467.36</v>
      </c>
    </row>
    <row r="341" spans="1:4">
      <c r="A341" t="s">
        <v>823</v>
      </c>
      <c r="B341" t="s">
        <v>1165</v>
      </c>
      <c r="C341">
        <v>24</v>
      </c>
      <c r="D341">
        <v>192342.63000000006</v>
      </c>
    </row>
    <row r="342" spans="1:4">
      <c r="A342" t="s">
        <v>823</v>
      </c>
      <c r="B342" t="s">
        <v>1166</v>
      </c>
      <c r="C342">
        <v>26</v>
      </c>
      <c r="D342">
        <v>107686.01</v>
      </c>
    </row>
    <row r="343" spans="1:4">
      <c r="A343" t="s">
        <v>823</v>
      </c>
      <c r="B343" t="s">
        <v>1167</v>
      </c>
      <c r="C343">
        <v>30</v>
      </c>
      <c r="D343">
        <v>132720.63</v>
      </c>
    </row>
    <row r="344" spans="1:4">
      <c r="A344" t="s">
        <v>823</v>
      </c>
      <c r="B344" t="s">
        <v>1168</v>
      </c>
      <c r="C344">
        <v>24</v>
      </c>
      <c r="D344">
        <v>103614.45</v>
      </c>
    </row>
    <row r="345" spans="1:4">
      <c r="A345" t="s">
        <v>823</v>
      </c>
      <c r="B345" t="s">
        <v>1169</v>
      </c>
      <c r="C345">
        <v>7</v>
      </c>
      <c r="D345">
        <v>26100.47</v>
      </c>
    </row>
    <row r="346" spans="1:4">
      <c r="A346" t="s">
        <v>823</v>
      </c>
      <c r="B346" t="s">
        <v>1170</v>
      </c>
      <c r="C346">
        <v>8</v>
      </c>
      <c r="D346">
        <v>36452.820000000007</v>
      </c>
    </row>
    <row r="347" spans="1:4">
      <c r="A347" t="s">
        <v>823</v>
      </c>
      <c r="B347" t="s">
        <v>1171</v>
      </c>
      <c r="C347">
        <v>6</v>
      </c>
      <c r="D347">
        <v>24550.29</v>
      </c>
    </row>
    <row r="348" spans="1:4">
      <c r="A348" t="s">
        <v>823</v>
      </c>
      <c r="B348" t="s">
        <v>1172</v>
      </c>
      <c r="C348">
        <v>14</v>
      </c>
      <c r="D348">
        <v>24769.449999999997</v>
      </c>
    </row>
    <row r="349" spans="1:4">
      <c r="A349" t="s">
        <v>823</v>
      </c>
      <c r="B349" t="s">
        <v>1173</v>
      </c>
      <c r="C349">
        <v>68547</v>
      </c>
      <c r="D349">
        <v>22.819727623124916</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235"/>
  <sheetViews>
    <sheetView topLeftCell="A220" workbookViewId="0">
      <selection activeCell="C229" sqref="C229"/>
    </sheetView>
  </sheetViews>
  <sheetFormatPr baseColWidth="10" defaultColWidth="8.7265625" defaultRowHeight="12.5"/>
  <cols>
    <col min="1" max="1" width="13" customWidth="1"/>
    <col min="2" max="2" width="41" customWidth="1"/>
    <col min="3" max="3" width="13" customWidth="1"/>
    <col min="4" max="4" width="11" customWidth="1"/>
    <col min="5" max="5" width="5" customWidth="1"/>
    <col min="6" max="8" width="3" customWidth="1"/>
  </cols>
  <sheetData>
    <row r="1" spans="1:8">
      <c r="A1" t="s">
        <v>1174</v>
      </c>
      <c r="B1" t="s">
        <v>1175</v>
      </c>
      <c r="C1" t="s">
        <v>1176</v>
      </c>
      <c r="D1" t="s">
        <v>1177</v>
      </c>
      <c r="E1" t="s">
        <v>1178</v>
      </c>
      <c r="F1" t="s">
        <v>1179</v>
      </c>
      <c r="G1" t="s">
        <v>1180</v>
      </c>
      <c r="H1" t="s">
        <v>1181</v>
      </c>
    </row>
    <row r="2" spans="1:8">
      <c r="A2">
        <v>46</v>
      </c>
      <c r="B2" t="s">
        <v>1182</v>
      </c>
      <c r="D2" s="801">
        <v>45908</v>
      </c>
      <c r="E2" t="s">
        <v>1183</v>
      </c>
      <c r="F2" t="s">
        <v>1183</v>
      </c>
      <c r="G2" t="s">
        <v>1183</v>
      </c>
      <c r="H2" t="s">
        <v>1183</v>
      </c>
    </row>
    <row r="3" spans="1:8">
      <c r="A3">
        <v>46</v>
      </c>
      <c r="B3" t="s">
        <v>1184</v>
      </c>
      <c r="D3" s="801">
        <v>45911</v>
      </c>
      <c r="E3" t="s">
        <v>1183</v>
      </c>
      <c r="F3" t="s">
        <v>1183</v>
      </c>
      <c r="G3" t="s">
        <v>1183</v>
      </c>
      <c r="H3" t="s">
        <v>1183</v>
      </c>
    </row>
    <row r="4" spans="1:8">
      <c r="A4">
        <v>46</v>
      </c>
      <c r="B4" t="s">
        <v>1185</v>
      </c>
      <c r="D4" s="801">
        <v>45915</v>
      </c>
      <c r="E4" t="s">
        <v>1183</v>
      </c>
      <c r="F4" t="s">
        <v>1183</v>
      </c>
      <c r="G4" t="s">
        <v>1183</v>
      </c>
      <c r="H4" t="s">
        <v>1183</v>
      </c>
    </row>
    <row r="5" spans="1:8">
      <c r="A5">
        <v>46</v>
      </c>
      <c r="B5" t="s">
        <v>1186</v>
      </c>
      <c r="C5" s="451">
        <v>16</v>
      </c>
      <c r="E5" t="s">
        <v>1183</v>
      </c>
      <c r="F5" t="s">
        <v>1183</v>
      </c>
      <c r="G5" t="s">
        <v>1183</v>
      </c>
      <c r="H5" t="s">
        <v>1183</v>
      </c>
    </row>
    <row r="6" spans="1:8">
      <c r="A6">
        <v>46</v>
      </c>
      <c r="B6" t="s">
        <v>1187</v>
      </c>
      <c r="D6" s="801">
        <v>45915</v>
      </c>
      <c r="E6" t="s">
        <v>1183</v>
      </c>
      <c r="F6" t="s">
        <v>1183</v>
      </c>
      <c r="G6" t="s">
        <v>1183</v>
      </c>
      <c r="H6" t="s">
        <v>1183</v>
      </c>
    </row>
    <row r="7" spans="1:8">
      <c r="A7">
        <v>46</v>
      </c>
      <c r="B7" t="s">
        <v>1188</v>
      </c>
      <c r="D7" s="801">
        <v>45883</v>
      </c>
      <c r="E7" t="s">
        <v>1183</v>
      </c>
      <c r="F7" t="s">
        <v>1183</v>
      </c>
      <c r="G7" t="s">
        <v>1183</v>
      </c>
      <c r="H7" t="s">
        <v>1183</v>
      </c>
    </row>
    <row r="8" spans="1:8">
      <c r="A8">
        <v>46</v>
      </c>
      <c r="B8" t="s">
        <v>1189</v>
      </c>
      <c r="C8" s="451">
        <v>1168522209.0599999</v>
      </c>
      <c r="E8" t="s">
        <v>1183</v>
      </c>
      <c r="F8" t="s">
        <v>1183</v>
      </c>
      <c r="G8" t="s">
        <v>1183</v>
      </c>
      <c r="H8" t="s">
        <v>1183</v>
      </c>
    </row>
    <row r="9" spans="1:8">
      <c r="A9">
        <v>46</v>
      </c>
      <c r="B9" t="s">
        <v>1190</v>
      </c>
      <c r="C9" s="451">
        <v>1209511439</v>
      </c>
      <c r="E9" t="s">
        <v>1183</v>
      </c>
      <c r="F9" t="s">
        <v>1183</v>
      </c>
      <c r="G9" t="s">
        <v>1183</v>
      </c>
      <c r="H9" t="s">
        <v>1183</v>
      </c>
    </row>
    <row r="10" spans="1:8">
      <c r="A10">
        <v>46</v>
      </c>
      <c r="B10" t="s">
        <v>1191</v>
      </c>
      <c r="C10" s="451">
        <v>33132388.010000002</v>
      </c>
      <c r="E10" t="s">
        <v>1183</v>
      </c>
      <c r="F10" t="s">
        <v>1183</v>
      </c>
      <c r="G10" t="s">
        <v>1183</v>
      </c>
      <c r="H10" t="s">
        <v>1183</v>
      </c>
    </row>
    <row r="11" spans="1:8">
      <c r="A11">
        <v>46</v>
      </c>
      <c r="B11" t="s">
        <v>1192</v>
      </c>
      <c r="C11" s="451">
        <v>36893135.229999997</v>
      </c>
      <c r="E11" t="s">
        <v>1183</v>
      </c>
      <c r="F11" t="s">
        <v>1183</v>
      </c>
      <c r="G11" t="s">
        <v>1183</v>
      </c>
      <c r="H11" t="s">
        <v>1183</v>
      </c>
    </row>
    <row r="12" spans="1:8">
      <c r="A12">
        <v>46</v>
      </c>
      <c r="B12" t="s">
        <v>1193</v>
      </c>
      <c r="C12" s="451">
        <v>7929570.4199999999</v>
      </c>
      <c r="E12" t="s">
        <v>1183</v>
      </c>
      <c r="F12" t="s">
        <v>1183</v>
      </c>
      <c r="G12" t="s">
        <v>1183</v>
      </c>
      <c r="H12" t="s">
        <v>1183</v>
      </c>
    </row>
    <row r="13" spans="1:8">
      <c r="A13">
        <v>46</v>
      </c>
      <c r="B13" t="s">
        <v>1194</v>
      </c>
      <c r="C13" s="451">
        <v>8198701.0199999996</v>
      </c>
      <c r="E13" t="s">
        <v>1183</v>
      </c>
      <c r="F13" t="s">
        <v>1183</v>
      </c>
      <c r="G13" t="s">
        <v>1183</v>
      </c>
      <c r="H13" t="s">
        <v>1183</v>
      </c>
    </row>
    <row r="14" spans="1:8">
      <c r="A14">
        <v>46</v>
      </c>
      <c r="B14" t="s">
        <v>1195</v>
      </c>
      <c r="C14" s="451">
        <v>3646087.28</v>
      </c>
      <c r="E14" t="s">
        <v>1183</v>
      </c>
      <c r="F14" t="s">
        <v>1183</v>
      </c>
      <c r="G14" t="s">
        <v>1183</v>
      </c>
      <c r="H14" t="s">
        <v>1183</v>
      </c>
    </row>
    <row r="15" spans="1:8">
      <c r="A15">
        <v>46</v>
      </c>
      <c r="B15" t="s">
        <v>1196</v>
      </c>
      <c r="C15" s="451">
        <v>4096094.71</v>
      </c>
      <c r="E15" t="s">
        <v>1183</v>
      </c>
      <c r="F15" t="s">
        <v>1183</v>
      </c>
      <c r="G15" t="s">
        <v>1183</v>
      </c>
      <c r="H15" t="s">
        <v>1183</v>
      </c>
    </row>
    <row r="16" spans="1:8">
      <c r="A16">
        <v>46</v>
      </c>
      <c r="B16" t="s">
        <v>1197</v>
      </c>
      <c r="C16" s="451">
        <v>0</v>
      </c>
      <c r="E16" t="s">
        <v>1183</v>
      </c>
      <c r="F16" t="s">
        <v>1183</v>
      </c>
      <c r="G16" t="s">
        <v>1183</v>
      </c>
      <c r="H16" t="s">
        <v>1183</v>
      </c>
    </row>
    <row r="17" spans="1:8">
      <c r="A17">
        <v>46</v>
      </c>
      <c r="B17" t="s">
        <v>1198</v>
      </c>
      <c r="C17" s="451">
        <v>0</v>
      </c>
      <c r="E17" t="s">
        <v>1183</v>
      </c>
      <c r="F17" t="s">
        <v>1183</v>
      </c>
      <c r="G17" t="s">
        <v>1183</v>
      </c>
      <c r="H17" t="s">
        <v>1183</v>
      </c>
    </row>
    <row r="18" spans="1:8">
      <c r="A18">
        <v>46</v>
      </c>
      <c r="B18" t="s">
        <v>1199</v>
      </c>
      <c r="C18" s="451">
        <v>1131743733.77</v>
      </c>
      <c r="E18" t="s">
        <v>1183</v>
      </c>
      <c r="F18" t="s">
        <v>1183</v>
      </c>
      <c r="G18" t="s">
        <v>1183</v>
      </c>
      <c r="H18" t="s">
        <v>1183</v>
      </c>
    </row>
    <row r="19" spans="1:8">
      <c r="A19">
        <v>46</v>
      </c>
      <c r="B19" t="s">
        <v>1200</v>
      </c>
      <c r="C19" s="451">
        <v>1168522209.0599999</v>
      </c>
      <c r="E19" t="s">
        <v>1183</v>
      </c>
      <c r="F19" t="s">
        <v>1183</v>
      </c>
      <c r="G19" t="s">
        <v>1183</v>
      </c>
      <c r="H19" t="s">
        <v>1183</v>
      </c>
    </row>
    <row r="20" spans="1:8">
      <c r="A20">
        <v>46</v>
      </c>
      <c r="B20" t="s">
        <v>1201</v>
      </c>
      <c r="C20" s="451">
        <v>28.93</v>
      </c>
      <c r="E20" t="s">
        <v>1183</v>
      </c>
      <c r="F20" t="s">
        <v>1183</v>
      </c>
      <c r="G20" t="s">
        <v>1183</v>
      </c>
      <c r="H20" t="s">
        <v>1183</v>
      </c>
    </row>
    <row r="21" spans="1:8">
      <c r="A21">
        <v>46</v>
      </c>
      <c r="B21" t="s">
        <v>1202</v>
      </c>
      <c r="C21" s="451">
        <v>34.74</v>
      </c>
      <c r="E21" t="s">
        <v>1183</v>
      </c>
      <c r="F21" t="s">
        <v>1183</v>
      </c>
      <c r="G21" t="s">
        <v>1183</v>
      </c>
      <c r="H21" t="s">
        <v>1183</v>
      </c>
    </row>
    <row r="22" spans="1:8">
      <c r="A22">
        <v>46</v>
      </c>
      <c r="B22" t="s">
        <v>1203</v>
      </c>
      <c r="C22" s="451">
        <v>1131743762.7</v>
      </c>
      <c r="E22" t="s">
        <v>1183</v>
      </c>
      <c r="F22" t="s">
        <v>1183</v>
      </c>
      <c r="G22" t="s">
        <v>1183</v>
      </c>
      <c r="H22" t="s">
        <v>1183</v>
      </c>
    </row>
    <row r="23" spans="1:8">
      <c r="A23">
        <v>46</v>
      </c>
      <c r="B23" t="s">
        <v>1204</v>
      </c>
      <c r="C23" s="451">
        <v>1168522243.8</v>
      </c>
      <c r="E23" t="s">
        <v>1183</v>
      </c>
      <c r="F23" t="s">
        <v>1183</v>
      </c>
      <c r="G23" t="s">
        <v>1183</v>
      </c>
      <c r="H23" t="s">
        <v>1183</v>
      </c>
    </row>
    <row r="24" spans="1:8">
      <c r="A24">
        <v>46</v>
      </c>
      <c r="B24" t="s">
        <v>1205</v>
      </c>
      <c r="C24" s="451">
        <v>18014614.390000001</v>
      </c>
      <c r="E24" t="s">
        <v>1183</v>
      </c>
      <c r="F24" t="s">
        <v>1183</v>
      </c>
      <c r="G24" t="s">
        <v>1183</v>
      </c>
      <c r="H24" t="s">
        <v>1183</v>
      </c>
    </row>
    <row r="25" spans="1:8">
      <c r="A25">
        <v>46</v>
      </c>
      <c r="B25" t="s">
        <v>1206</v>
      </c>
      <c r="C25" s="451">
        <v>18014614.390000001</v>
      </c>
      <c r="E25" t="s">
        <v>1183</v>
      </c>
      <c r="F25" t="s">
        <v>1183</v>
      </c>
      <c r="G25" t="s">
        <v>1183</v>
      </c>
      <c r="H25" t="s">
        <v>1183</v>
      </c>
    </row>
    <row r="26" spans="1:8">
      <c r="A26">
        <v>46</v>
      </c>
      <c r="B26" t="s">
        <v>1207</v>
      </c>
      <c r="C26" s="451">
        <v>17359083.66</v>
      </c>
      <c r="E26" t="s">
        <v>1183</v>
      </c>
      <c r="F26" t="s">
        <v>1183</v>
      </c>
      <c r="G26" t="s">
        <v>1183</v>
      </c>
      <c r="H26" t="s">
        <v>1183</v>
      </c>
    </row>
    <row r="27" spans="1:8">
      <c r="A27">
        <v>46</v>
      </c>
      <c r="B27" t="s">
        <v>1208</v>
      </c>
      <c r="C27" s="451">
        <v>17359083.66</v>
      </c>
      <c r="E27" t="s">
        <v>1183</v>
      </c>
      <c r="F27" t="s">
        <v>1183</v>
      </c>
      <c r="G27" t="s">
        <v>1183</v>
      </c>
      <c r="H27" t="s">
        <v>1183</v>
      </c>
    </row>
    <row r="28" spans="1:8">
      <c r="A28">
        <v>46</v>
      </c>
      <c r="B28" t="s">
        <v>1209</v>
      </c>
      <c r="C28" s="451">
        <v>17359083.66</v>
      </c>
      <c r="E28" t="s">
        <v>1183</v>
      </c>
      <c r="F28" t="s">
        <v>1183</v>
      </c>
      <c r="G28" t="s">
        <v>1183</v>
      </c>
      <c r="H28" t="s">
        <v>1183</v>
      </c>
    </row>
    <row r="29" spans="1:8">
      <c r="A29">
        <v>46</v>
      </c>
      <c r="B29" t="s">
        <v>1210</v>
      </c>
      <c r="E29" t="s">
        <v>228</v>
      </c>
      <c r="F29" t="s">
        <v>1183</v>
      </c>
      <c r="G29" t="s">
        <v>1183</v>
      </c>
      <c r="H29" t="s">
        <v>1183</v>
      </c>
    </row>
    <row r="30" spans="1:8">
      <c r="A30">
        <v>46</v>
      </c>
      <c r="B30" t="s">
        <v>1211</v>
      </c>
      <c r="E30" t="s">
        <v>228</v>
      </c>
      <c r="F30" t="s">
        <v>1183</v>
      </c>
      <c r="G30" t="s">
        <v>1183</v>
      </c>
      <c r="H30" t="s">
        <v>1183</v>
      </c>
    </row>
    <row r="31" spans="1:8">
      <c r="A31">
        <v>46</v>
      </c>
      <c r="B31" t="s">
        <v>1212</v>
      </c>
      <c r="E31" t="s">
        <v>228</v>
      </c>
      <c r="F31" t="s">
        <v>1183</v>
      </c>
      <c r="G31" t="s">
        <v>1183</v>
      </c>
      <c r="H31" t="s">
        <v>1183</v>
      </c>
    </row>
    <row r="32" spans="1:8">
      <c r="A32">
        <v>46</v>
      </c>
      <c r="B32" t="s">
        <v>1213</v>
      </c>
      <c r="C32" s="451">
        <v>0</v>
      </c>
      <c r="E32" t="s">
        <v>228</v>
      </c>
      <c r="F32" t="s">
        <v>1183</v>
      </c>
      <c r="G32" t="s">
        <v>1183</v>
      </c>
      <c r="H32" t="s">
        <v>1183</v>
      </c>
    </row>
    <row r="33" spans="1:8">
      <c r="A33">
        <v>46</v>
      </c>
      <c r="B33" t="s">
        <v>1214</v>
      </c>
      <c r="C33" s="451">
        <v>0</v>
      </c>
      <c r="E33" t="s">
        <v>1183</v>
      </c>
      <c r="F33" t="s">
        <v>1183</v>
      </c>
      <c r="G33" t="s">
        <v>1183</v>
      </c>
      <c r="H33" t="s">
        <v>1183</v>
      </c>
    </row>
    <row r="34" spans="1:8">
      <c r="A34">
        <v>46</v>
      </c>
      <c r="B34" t="s">
        <v>1215</v>
      </c>
      <c r="E34" t="s">
        <v>43</v>
      </c>
      <c r="F34" t="s">
        <v>1183</v>
      </c>
      <c r="G34" t="s">
        <v>1183</v>
      </c>
      <c r="H34" t="s">
        <v>1183</v>
      </c>
    </row>
    <row r="35" spans="1:8">
      <c r="A35">
        <v>46</v>
      </c>
      <c r="B35" t="s">
        <v>1216</v>
      </c>
      <c r="E35" t="s">
        <v>228</v>
      </c>
      <c r="F35" t="s">
        <v>1183</v>
      </c>
      <c r="G35" t="s">
        <v>1183</v>
      </c>
      <c r="H35" t="s">
        <v>1183</v>
      </c>
    </row>
    <row r="36" spans="1:8">
      <c r="A36">
        <v>46</v>
      </c>
      <c r="B36" t="s">
        <v>1217</v>
      </c>
      <c r="E36" t="s">
        <v>228</v>
      </c>
      <c r="F36" t="s">
        <v>1183</v>
      </c>
      <c r="G36" t="s">
        <v>1183</v>
      </c>
      <c r="H36" t="s">
        <v>1183</v>
      </c>
    </row>
    <row r="37" spans="1:8">
      <c r="A37">
        <v>46</v>
      </c>
      <c r="B37" t="s">
        <v>1218</v>
      </c>
      <c r="E37" t="s">
        <v>228</v>
      </c>
      <c r="F37" t="s">
        <v>1183</v>
      </c>
      <c r="G37" t="s">
        <v>1183</v>
      </c>
      <c r="H37" t="s">
        <v>1183</v>
      </c>
    </row>
    <row r="38" spans="1:8">
      <c r="A38">
        <v>46</v>
      </c>
      <c r="B38" t="s">
        <v>1219</v>
      </c>
      <c r="C38" s="451">
        <v>0</v>
      </c>
      <c r="E38" t="s">
        <v>228</v>
      </c>
      <c r="F38" t="s">
        <v>1183</v>
      </c>
      <c r="G38" t="s">
        <v>1183</v>
      </c>
      <c r="H38" t="s">
        <v>1183</v>
      </c>
    </row>
    <row r="39" spans="1:8">
      <c r="A39">
        <v>46</v>
      </c>
      <c r="B39" t="s">
        <v>1220</v>
      </c>
      <c r="C39" s="451">
        <v>0</v>
      </c>
      <c r="E39" t="s">
        <v>1183</v>
      </c>
      <c r="F39" t="s">
        <v>1183</v>
      </c>
      <c r="G39" t="s">
        <v>1183</v>
      </c>
      <c r="H39" t="s">
        <v>1183</v>
      </c>
    </row>
    <row r="40" spans="1:8">
      <c r="A40">
        <v>46</v>
      </c>
      <c r="B40" t="s">
        <v>1221</v>
      </c>
      <c r="E40" t="s">
        <v>43</v>
      </c>
      <c r="F40" t="s">
        <v>1183</v>
      </c>
      <c r="G40" t="s">
        <v>1183</v>
      </c>
      <c r="H40" t="s">
        <v>1183</v>
      </c>
    </row>
    <row r="41" spans="1:8">
      <c r="A41">
        <v>46</v>
      </c>
      <c r="B41" t="s">
        <v>1222</v>
      </c>
      <c r="C41" s="451">
        <v>0</v>
      </c>
      <c r="E41" t="s">
        <v>1183</v>
      </c>
      <c r="F41" t="s">
        <v>1183</v>
      </c>
      <c r="G41" t="s">
        <v>1183</v>
      </c>
      <c r="H41" t="s">
        <v>1183</v>
      </c>
    </row>
    <row r="42" spans="1:8">
      <c r="A42">
        <v>46</v>
      </c>
      <c r="B42" t="s">
        <v>1223</v>
      </c>
      <c r="C42" s="451">
        <v>3646087.28</v>
      </c>
      <c r="E42" t="s">
        <v>1183</v>
      </c>
      <c r="F42" t="s">
        <v>1183</v>
      </c>
      <c r="G42" t="s">
        <v>1183</v>
      </c>
      <c r="H42" t="s">
        <v>1183</v>
      </c>
    </row>
    <row r="43" spans="1:8">
      <c r="A43">
        <v>46</v>
      </c>
      <c r="B43" t="s">
        <v>1224</v>
      </c>
      <c r="C43" s="451">
        <v>107353.22</v>
      </c>
      <c r="E43" t="s">
        <v>1183</v>
      </c>
      <c r="F43" t="s">
        <v>1183</v>
      </c>
      <c r="G43" t="s">
        <v>1183</v>
      </c>
      <c r="H43" t="s">
        <v>1183</v>
      </c>
    </row>
    <row r="44" spans="1:8">
      <c r="A44">
        <v>46</v>
      </c>
      <c r="B44" t="s">
        <v>1225</v>
      </c>
      <c r="C44" s="451">
        <v>172</v>
      </c>
      <c r="E44" t="s">
        <v>1183</v>
      </c>
      <c r="F44" t="s">
        <v>1183</v>
      </c>
      <c r="G44" t="s">
        <v>1183</v>
      </c>
      <c r="H44" t="s">
        <v>1183</v>
      </c>
    </row>
    <row r="45" spans="1:8">
      <c r="A45">
        <v>46</v>
      </c>
      <c r="B45" t="s">
        <v>1226</v>
      </c>
      <c r="C45" s="451">
        <v>43024966.649999999</v>
      </c>
      <c r="E45" t="s">
        <v>1183</v>
      </c>
      <c r="F45" t="s">
        <v>1183</v>
      </c>
      <c r="G45" t="s">
        <v>1183</v>
      </c>
      <c r="H45" t="s">
        <v>1183</v>
      </c>
    </row>
    <row r="46" spans="1:8">
      <c r="A46">
        <v>46</v>
      </c>
      <c r="B46" t="s">
        <v>1227</v>
      </c>
      <c r="C46" s="451">
        <v>493573.03</v>
      </c>
      <c r="E46" t="s">
        <v>1183</v>
      </c>
      <c r="F46" t="s">
        <v>1183</v>
      </c>
      <c r="G46" t="s">
        <v>1183</v>
      </c>
      <c r="H46" t="s">
        <v>1183</v>
      </c>
    </row>
    <row r="47" spans="1:8">
      <c r="A47">
        <v>46</v>
      </c>
      <c r="B47" t="s">
        <v>1228</v>
      </c>
      <c r="C47" s="451">
        <v>1857</v>
      </c>
      <c r="E47" t="s">
        <v>1183</v>
      </c>
      <c r="F47" t="s">
        <v>1183</v>
      </c>
      <c r="G47" t="s">
        <v>1183</v>
      </c>
      <c r="H47" t="s">
        <v>1183</v>
      </c>
    </row>
    <row r="48" spans="1:8">
      <c r="A48">
        <v>46</v>
      </c>
      <c r="B48" t="s">
        <v>1229</v>
      </c>
      <c r="C48" s="451">
        <v>1.9199999999999998E-2</v>
      </c>
      <c r="E48" t="s">
        <v>1183</v>
      </c>
      <c r="F48" t="s">
        <v>1183</v>
      </c>
      <c r="G48" t="s">
        <v>1183</v>
      </c>
      <c r="H48" t="s">
        <v>1183</v>
      </c>
    </row>
    <row r="49" spans="1:8">
      <c r="A49">
        <v>46</v>
      </c>
      <c r="B49" t="s">
        <v>1230</v>
      </c>
      <c r="C49" s="451">
        <v>2.1399999999999999E-2</v>
      </c>
      <c r="E49" t="s">
        <v>1183</v>
      </c>
      <c r="F49" t="s">
        <v>1183</v>
      </c>
      <c r="G49" t="s">
        <v>1183</v>
      </c>
      <c r="H49" t="s">
        <v>1183</v>
      </c>
    </row>
    <row r="50" spans="1:8">
      <c r="A50">
        <v>46</v>
      </c>
      <c r="B50" t="s">
        <v>1231</v>
      </c>
      <c r="C50" s="451">
        <v>2.3300000000000001E-2</v>
      </c>
      <c r="E50" t="s">
        <v>1183</v>
      </c>
      <c r="F50" t="s">
        <v>1183</v>
      </c>
      <c r="G50" t="s">
        <v>1183</v>
      </c>
      <c r="H50" t="s">
        <v>1183</v>
      </c>
    </row>
    <row r="51" spans="1:8">
      <c r="A51">
        <v>46</v>
      </c>
      <c r="B51" t="s">
        <v>1232</v>
      </c>
      <c r="C51" s="451">
        <v>0</v>
      </c>
      <c r="E51" t="s">
        <v>1183</v>
      </c>
      <c r="F51" t="s">
        <v>1183</v>
      </c>
      <c r="G51" t="s">
        <v>1183</v>
      </c>
      <c r="H51" t="s">
        <v>1183</v>
      </c>
    </row>
    <row r="52" spans="1:8">
      <c r="A52">
        <v>46</v>
      </c>
      <c r="B52" t="s">
        <v>1233</v>
      </c>
      <c r="C52" s="451">
        <v>0</v>
      </c>
      <c r="E52" t="s">
        <v>1183</v>
      </c>
      <c r="F52" t="s">
        <v>1183</v>
      </c>
      <c r="G52" t="s">
        <v>1183</v>
      </c>
      <c r="H52" t="s">
        <v>1183</v>
      </c>
    </row>
    <row r="53" spans="1:8">
      <c r="A53">
        <v>46</v>
      </c>
      <c r="B53" t="s">
        <v>1234</v>
      </c>
      <c r="C53" s="451">
        <v>0</v>
      </c>
      <c r="E53" t="s">
        <v>1183</v>
      </c>
      <c r="F53" t="s">
        <v>1183</v>
      </c>
      <c r="G53" t="s">
        <v>1183</v>
      </c>
      <c r="H53" t="s">
        <v>1183</v>
      </c>
    </row>
    <row r="54" spans="1:8">
      <c r="A54">
        <v>46</v>
      </c>
      <c r="B54" t="s">
        <v>1235</v>
      </c>
      <c r="C54" s="451">
        <v>0</v>
      </c>
      <c r="E54" t="s">
        <v>1183</v>
      </c>
      <c r="F54" t="s">
        <v>1183</v>
      </c>
      <c r="G54" t="s">
        <v>1183</v>
      </c>
      <c r="H54" t="s">
        <v>1183</v>
      </c>
    </row>
    <row r="55" spans="1:8">
      <c r="A55">
        <v>46</v>
      </c>
      <c r="B55" t="s">
        <v>1236</v>
      </c>
      <c r="C55" s="451">
        <v>0</v>
      </c>
      <c r="E55" t="s">
        <v>1183</v>
      </c>
      <c r="F55" t="s">
        <v>1183</v>
      </c>
      <c r="G55" t="s">
        <v>1183</v>
      </c>
      <c r="H55" t="s">
        <v>1183</v>
      </c>
    </row>
    <row r="56" spans="1:8">
      <c r="A56">
        <v>46</v>
      </c>
      <c r="B56" t="s">
        <v>1237</v>
      </c>
      <c r="C56" s="451">
        <v>0</v>
      </c>
      <c r="E56" t="s">
        <v>1183</v>
      </c>
      <c r="F56" t="s">
        <v>1183</v>
      </c>
      <c r="G56" t="s">
        <v>1183</v>
      </c>
      <c r="H56" t="s">
        <v>1183</v>
      </c>
    </row>
    <row r="57" spans="1:8">
      <c r="A57">
        <v>46</v>
      </c>
      <c r="B57" t="s">
        <v>1238</v>
      </c>
      <c r="C57" s="451">
        <v>0</v>
      </c>
      <c r="E57" t="s">
        <v>1183</v>
      </c>
      <c r="F57" t="s">
        <v>1183</v>
      </c>
      <c r="G57" t="s">
        <v>1183</v>
      </c>
      <c r="H57" t="s">
        <v>1183</v>
      </c>
    </row>
    <row r="58" spans="1:8">
      <c r="A58">
        <v>46</v>
      </c>
      <c r="B58" t="s">
        <v>1239</v>
      </c>
      <c r="C58" s="451">
        <v>0</v>
      </c>
      <c r="E58" t="s">
        <v>1183</v>
      </c>
      <c r="F58" t="s">
        <v>1183</v>
      </c>
      <c r="G58" t="s">
        <v>1183</v>
      </c>
      <c r="H58" t="s">
        <v>1183</v>
      </c>
    </row>
    <row r="59" spans="1:8">
      <c r="A59">
        <v>46</v>
      </c>
      <c r="B59" t="s">
        <v>1240</v>
      </c>
      <c r="C59" s="451">
        <v>0</v>
      </c>
      <c r="E59" t="s">
        <v>1183</v>
      </c>
      <c r="F59" t="s">
        <v>1183</v>
      </c>
      <c r="G59" t="s">
        <v>1183</v>
      </c>
      <c r="H59" t="s">
        <v>1183</v>
      </c>
    </row>
    <row r="60" spans="1:8">
      <c r="A60">
        <v>46</v>
      </c>
      <c r="B60" t="s">
        <v>1241</v>
      </c>
      <c r="C60" s="451">
        <v>0</v>
      </c>
      <c r="E60" t="s">
        <v>1183</v>
      </c>
      <c r="F60" t="s">
        <v>1183</v>
      </c>
      <c r="G60" t="s">
        <v>1183</v>
      </c>
      <c r="H60" t="s">
        <v>1183</v>
      </c>
    </row>
    <row r="61" spans="1:8">
      <c r="A61">
        <v>46</v>
      </c>
      <c r="B61" t="s">
        <v>1242</v>
      </c>
      <c r="C61" s="451">
        <v>0</v>
      </c>
      <c r="E61" t="s">
        <v>1183</v>
      </c>
      <c r="F61" t="s">
        <v>1183</v>
      </c>
      <c r="G61" t="s">
        <v>1183</v>
      </c>
      <c r="H61" t="s">
        <v>1183</v>
      </c>
    </row>
    <row r="62" spans="1:8">
      <c r="A62">
        <v>46</v>
      </c>
      <c r="B62" t="s">
        <v>1243</v>
      </c>
      <c r="C62" s="451">
        <v>0</v>
      </c>
      <c r="E62" t="s">
        <v>1183</v>
      </c>
      <c r="F62" t="s">
        <v>1183</v>
      </c>
      <c r="G62" t="s">
        <v>1183</v>
      </c>
      <c r="H62" t="s">
        <v>1183</v>
      </c>
    </row>
    <row r="63" spans="1:8">
      <c r="A63">
        <v>46</v>
      </c>
      <c r="B63" t="s">
        <v>1244</v>
      </c>
      <c r="C63" s="451">
        <v>0</v>
      </c>
      <c r="E63" t="s">
        <v>1183</v>
      </c>
      <c r="F63" t="s">
        <v>1183</v>
      </c>
      <c r="G63" t="s">
        <v>1183</v>
      </c>
      <c r="H63" t="s">
        <v>1183</v>
      </c>
    </row>
    <row r="64" spans="1:8">
      <c r="A64">
        <v>46</v>
      </c>
      <c r="B64" t="s">
        <v>1245</v>
      </c>
      <c r="C64" s="451">
        <v>0</v>
      </c>
      <c r="E64" t="s">
        <v>1183</v>
      </c>
      <c r="F64" t="s">
        <v>1183</v>
      </c>
      <c r="G64" t="s">
        <v>1183</v>
      </c>
      <c r="H64" t="s">
        <v>1183</v>
      </c>
    </row>
    <row r="65" spans="1:8">
      <c r="A65">
        <v>46</v>
      </c>
      <c r="B65" t="s">
        <v>1246</v>
      </c>
      <c r="C65" s="451">
        <v>0</v>
      </c>
      <c r="E65" t="s">
        <v>1183</v>
      </c>
      <c r="F65" t="s">
        <v>1183</v>
      </c>
      <c r="G65" t="s">
        <v>1183</v>
      </c>
      <c r="H65" t="s">
        <v>1183</v>
      </c>
    </row>
    <row r="66" spans="1:8">
      <c r="A66">
        <v>46</v>
      </c>
      <c r="B66" t="s">
        <v>1247</v>
      </c>
      <c r="C66" s="451">
        <v>0</v>
      </c>
      <c r="E66" t="s">
        <v>1183</v>
      </c>
      <c r="F66" t="s">
        <v>1183</v>
      </c>
      <c r="G66" t="s">
        <v>1183</v>
      </c>
      <c r="H66" t="s">
        <v>1183</v>
      </c>
    </row>
    <row r="67" spans="1:8">
      <c r="A67">
        <v>46</v>
      </c>
      <c r="B67" t="s">
        <v>1248</v>
      </c>
      <c r="C67" s="451">
        <v>0</v>
      </c>
      <c r="E67" t="s">
        <v>1183</v>
      </c>
      <c r="F67" t="s">
        <v>1183</v>
      </c>
      <c r="G67" t="s">
        <v>1183</v>
      </c>
      <c r="H67" t="s">
        <v>1183</v>
      </c>
    </row>
    <row r="68" spans="1:8">
      <c r="A68">
        <v>46</v>
      </c>
      <c r="B68" t="s">
        <v>1249</v>
      </c>
      <c r="C68" s="451">
        <v>0</v>
      </c>
      <c r="E68" t="s">
        <v>1183</v>
      </c>
      <c r="F68" t="s">
        <v>1183</v>
      </c>
      <c r="G68" t="s">
        <v>1183</v>
      </c>
      <c r="H68" t="s">
        <v>1183</v>
      </c>
    </row>
    <row r="69" spans="1:8">
      <c r="A69">
        <v>46</v>
      </c>
      <c r="B69" t="s">
        <v>1250</v>
      </c>
      <c r="C69" s="451">
        <v>0</v>
      </c>
      <c r="E69" t="s">
        <v>1183</v>
      </c>
      <c r="F69" t="s">
        <v>1183</v>
      </c>
      <c r="G69" t="s">
        <v>1183</v>
      </c>
      <c r="H69" t="s">
        <v>1183</v>
      </c>
    </row>
    <row r="70" spans="1:8">
      <c r="A70">
        <v>46</v>
      </c>
      <c r="B70" t="s">
        <v>1251</v>
      </c>
      <c r="C70" s="451">
        <v>0</v>
      </c>
      <c r="E70" t="s">
        <v>1183</v>
      </c>
      <c r="F70" t="s">
        <v>1183</v>
      </c>
      <c r="G70" t="s">
        <v>1183</v>
      </c>
      <c r="H70" t="s">
        <v>1183</v>
      </c>
    </row>
    <row r="71" spans="1:8">
      <c r="A71">
        <v>46</v>
      </c>
      <c r="B71" t="s">
        <v>1252</v>
      </c>
      <c r="C71" s="451">
        <v>0</v>
      </c>
      <c r="E71" t="s">
        <v>1183</v>
      </c>
      <c r="F71" t="s">
        <v>1183</v>
      </c>
      <c r="G71" t="s">
        <v>1183</v>
      </c>
      <c r="H71" t="s">
        <v>1183</v>
      </c>
    </row>
    <row r="72" spans="1:8">
      <c r="A72">
        <v>46</v>
      </c>
      <c r="B72" t="s">
        <v>1253</v>
      </c>
      <c r="C72" s="451">
        <v>3646087.28</v>
      </c>
      <c r="E72" t="s">
        <v>1183</v>
      </c>
      <c r="F72" t="s">
        <v>1183</v>
      </c>
      <c r="G72" t="s">
        <v>1183</v>
      </c>
      <c r="H72" t="s">
        <v>1183</v>
      </c>
    </row>
    <row r="73" spans="1:8">
      <c r="A73">
        <v>46</v>
      </c>
      <c r="B73" t="s">
        <v>1254</v>
      </c>
      <c r="C73" s="451">
        <v>3646087.28</v>
      </c>
      <c r="E73" t="s">
        <v>1183</v>
      </c>
      <c r="F73" t="s">
        <v>1183</v>
      </c>
      <c r="G73" t="s">
        <v>1183</v>
      </c>
      <c r="H73" t="s">
        <v>1183</v>
      </c>
    </row>
    <row r="74" spans="1:8">
      <c r="A74">
        <v>46</v>
      </c>
      <c r="B74" t="s">
        <v>1255</v>
      </c>
      <c r="C74" s="451">
        <v>0</v>
      </c>
      <c r="E74" t="s">
        <v>1183</v>
      </c>
      <c r="F74" t="s">
        <v>1183</v>
      </c>
      <c r="G74" t="s">
        <v>1183</v>
      </c>
      <c r="H74" t="s">
        <v>1183</v>
      </c>
    </row>
    <row r="75" spans="1:8">
      <c r="A75">
        <v>46</v>
      </c>
      <c r="B75" t="s">
        <v>1256</v>
      </c>
      <c r="C75" s="451">
        <v>2.3300000000000001E-2</v>
      </c>
      <c r="E75" t="s">
        <v>1183</v>
      </c>
      <c r="F75" t="s">
        <v>1183</v>
      </c>
      <c r="G75" t="s">
        <v>1183</v>
      </c>
      <c r="H75" t="s">
        <v>1183</v>
      </c>
    </row>
    <row r="76" spans="1:8">
      <c r="A76">
        <v>46</v>
      </c>
      <c r="B76" t="s">
        <v>1257</v>
      </c>
      <c r="C76" s="451">
        <v>87.55</v>
      </c>
      <c r="E76" t="s">
        <v>1183</v>
      </c>
      <c r="F76" t="s">
        <v>1183</v>
      </c>
      <c r="G76" t="s">
        <v>1183</v>
      </c>
      <c r="H76" t="s">
        <v>1183</v>
      </c>
    </row>
    <row r="77" spans="1:8">
      <c r="A77">
        <v>46</v>
      </c>
      <c r="B77" t="s">
        <v>1202</v>
      </c>
      <c r="C77" s="451">
        <v>34.74</v>
      </c>
      <c r="E77" t="s">
        <v>1183</v>
      </c>
      <c r="F77" t="s">
        <v>1183</v>
      </c>
      <c r="G77" t="s">
        <v>1183</v>
      </c>
      <c r="H77" t="s">
        <v>1183</v>
      </c>
    </row>
    <row r="78" spans="1:8">
      <c r="A78">
        <v>46</v>
      </c>
      <c r="B78" t="s">
        <v>1201</v>
      </c>
      <c r="C78" s="451">
        <v>28.93</v>
      </c>
      <c r="E78" t="s">
        <v>1183</v>
      </c>
      <c r="F78" t="s">
        <v>1183</v>
      </c>
      <c r="G78" t="s">
        <v>1183</v>
      </c>
      <c r="H78" t="s">
        <v>1183</v>
      </c>
    </row>
    <row r="79" spans="1:8">
      <c r="A79">
        <v>46</v>
      </c>
      <c r="B79" t="s">
        <v>1258</v>
      </c>
      <c r="C79" s="451">
        <v>1.9599999999999999E-2</v>
      </c>
      <c r="E79" t="s">
        <v>1183</v>
      </c>
      <c r="F79" t="s">
        <v>1183</v>
      </c>
      <c r="G79" t="s">
        <v>1183</v>
      </c>
      <c r="H79" t="s">
        <v>1183</v>
      </c>
    </row>
    <row r="80" spans="1:8">
      <c r="A80">
        <v>46</v>
      </c>
      <c r="B80" t="s">
        <v>1259</v>
      </c>
      <c r="E80" t="s">
        <v>1183</v>
      </c>
      <c r="F80" t="s">
        <v>1183</v>
      </c>
      <c r="G80" t="s">
        <v>1183</v>
      </c>
      <c r="H80" t="s">
        <v>1183</v>
      </c>
    </row>
    <row r="81" spans="1:8">
      <c r="A81">
        <v>46</v>
      </c>
      <c r="B81" t="s">
        <v>1260</v>
      </c>
      <c r="C81" s="451">
        <v>0</v>
      </c>
      <c r="E81" t="s">
        <v>1183</v>
      </c>
      <c r="F81" t="s">
        <v>1183</v>
      </c>
      <c r="G81" t="s">
        <v>1183</v>
      </c>
      <c r="H81" t="s">
        <v>1183</v>
      </c>
    </row>
    <row r="82" spans="1:8">
      <c r="A82">
        <v>46</v>
      </c>
      <c r="B82" t="s">
        <v>1261</v>
      </c>
      <c r="C82" s="451">
        <v>0</v>
      </c>
      <c r="E82" t="s">
        <v>1183</v>
      </c>
      <c r="F82" t="s">
        <v>1183</v>
      </c>
      <c r="G82" t="s">
        <v>1183</v>
      </c>
      <c r="H82" t="s">
        <v>1183</v>
      </c>
    </row>
    <row r="83" spans="1:8">
      <c r="A83">
        <v>46</v>
      </c>
      <c r="B83" t="s">
        <v>1262</v>
      </c>
      <c r="C83" s="451">
        <v>1157272243.8</v>
      </c>
      <c r="E83" t="s">
        <v>1183</v>
      </c>
      <c r="F83" t="s">
        <v>1183</v>
      </c>
      <c r="G83" t="s">
        <v>1183</v>
      </c>
      <c r="H83" t="s">
        <v>1183</v>
      </c>
    </row>
    <row r="84" spans="1:8">
      <c r="A84">
        <v>46</v>
      </c>
      <c r="B84" t="s">
        <v>1263</v>
      </c>
      <c r="C84" s="451">
        <v>915022243.79999995</v>
      </c>
      <c r="E84" t="s">
        <v>1183</v>
      </c>
      <c r="F84" t="s">
        <v>1183</v>
      </c>
      <c r="G84" t="s">
        <v>1183</v>
      </c>
      <c r="H84" t="s">
        <v>1183</v>
      </c>
    </row>
    <row r="85" spans="1:8">
      <c r="A85">
        <v>46</v>
      </c>
      <c r="B85" t="s">
        <v>1264</v>
      </c>
      <c r="C85" s="451">
        <v>84000000</v>
      </c>
      <c r="E85" t="s">
        <v>1183</v>
      </c>
      <c r="F85" t="s">
        <v>1183</v>
      </c>
      <c r="G85" t="s">
        <v>1183</v>
      </c>
      <c r="H85" t="s">
        <v>1183</v>
      </c>
    </row>
    <row r="86" spans="1:8">
      <c r="A86">
        <v>46</v>
      </c>
      <c r="B86" t="s">
        <v>1265</v>
      </c>
      <c r="C86" s="451">
        <v>78000000</v>
      </c>
      <c r="E86" t="s">
        <v>1183</v>
      </c>
      <c r="F86" t="s">
        <v>1183</v>
      </c>
      <c r="G86" t="s">
        <v>1183</v>
      </c>
      <c r="H86" t="s">
        <v>1183</v>
      </c>
    </row>
    <row r="87" spans="1:8">
      <c r="A87">
        <v>46</v>
      </c>
      <c r="B87" t="s">
        <v>1266</v>
      </c>
      <c r="C87" s="451">
        <v>34500000</v>
      </c>
      <c r="E87" t="s">
        <v>1183</v>
      </c>
      <c r="F87" t="s">
        <v>1183</v>
      </c>
      <c r="G87" t="s">
        <v>1183</v>
      </c>
      <c r="H87" t="s">
        <v>1183</v>
      </c>
    </row>
    <row r="88" spans="1:8">
      <c r="A88">
        <v>46</v>
      </c>
      <c r="B88" t="s">
        <v>1267</v>
      </c>
      <c r="C88" s="451">
        <v>39000000</v>
      </c>
      <c r="E88" t="s">
        <v>1183</v>
      </c>
      <c r="F88" t="s">
        <v>1183</v>
      </c>
      <c r="G88" t="s">
        <v>1183</v>
      </c>
      <c r="H88" t="s">
        <v>1183</v>
      </c>
    </row>
    <row r="89" spans="1:8">
      <c r="A89">
        <v>46</v>
      </c>
      <c r="B89" t="s">
        <v>1268</v>
      </c>
      <c r="C89" s="451">
        <v>6750000</v>
      </c>
      <c r="E89" t="s">
        <v>1183</v>
      </c>
      <c r="F89" t="s">
        <v>1183</v>
      </c>
      <c r="G89" t="s">
        <v>1183</v>
      </c>
      <c r="H89" t="s">
        <v>1183</v>
      </c>
    </row>
    <row r="90" spans="1:8">
      <c r="A90">
        <v>46</v>
      </c>
      <c r="B90" t="s">
        <v>225</v>
      </c>
      <c r="C90" s="451">
        <v>0</v>
      </c>
      <c r="E90" t="s">
        <v>1183</v>
      </c>
      <c r="F90" t="s">
        <v>1183</v>
      </c>
      <c r="G90" t="s">
        <v>1183</v>
      </c>
      <c r="H90" t="s">
        <v>1183</v>
      </c>
    </row>
    <row r="91" spans="1:8">
      <c r="A91">
        <v>46</v>
      </c>
      <c r="B91" t="s">
        <v>1269</v>
      </c>
      <c r="C91" s="451">
        <v>37528481.100000001</v>
      </c>
      <c r="E91" t="s">
        <v>1183</v>
      </c>
      <c r="F91" t="s">
        <v>1183</v>
      </c>
      <c r="G91" t="s">
        <v>1183</v>
      </c>
      <c r="H91" t="s">
        <v>1183</v>
      </c>
    </row>
    <row r="92" spans="1:8">
      <c r="A92">
        <v>46</v>
      </c>
      <c r="B92" t="s">
        <v>1270</v>
      </c>
      <c r="C92" s="451">
        <v>37528481.100000001</v>
      </c>
      <c r="E92" t="s">
        <v>1183</v>
      </c>
      <c r="F92" t="s">
        <v>1183</v>
      </c>
      <c r="G92" t="s">
        <v>1183</v>
      </c>
      <c r="H92" t="s">
        <v>1183</v>
      </c>
    </row>
    <row r="93" spans="1:8">
      <c r="A93">
        <v>46</v>
      </c>
      <c r="B93" t="s">
        <v>1271</v>
      </c>
      <c r="C93" s="451">
        <v>36778481.100000001</v>
      </c>
      <c r="E93" t="s">
        <v>1183</v>
      </c>
      <c r="F93" t="s">
        <v>1183</v>
      </c>
      <c r="G93" t="s">
        <v>1183</v>
      </c>
      <c r="H93" t="s">
        <v>1183</v>
      </c>
    </row>
    <row r="94" spans="1:8">
      <c r="A94">
        <v>46</v>
      </c>
      <c r="B94" t="s">
        <v>1272</v>
      </c>
      <c r="C94" s="451">
        <v>0</v>
      </c>
      <c r="E94" t="s">
        <v>1183</v>
      </c>
      <c r="F94" t="s">
        <v>1183</v>
      </c>
      <c r="G94" t="s">
        <v>1183</v>
      </c>
      <c r="H94" t="s">
        <v>1183</v>
      </c>
    </row>
    <row r="95" spans="1:8">
      <c r="A95">
        <v>46</v>
      </c>
      <c r="B95" t="s">
        <v>1273</v>
      </c>
      <c r="C95" s="451">
        <v>0</v>
      </c>
      <c r="E95" t="s">
        <v>1183</v>
      </c>
      <c r="F95" t="s">
        <v>1183</v>
      </c>
      <c r="G95" t="s">
        <v>1183</v>
      </c>
      <c r="H95" t="s">
        <v>1183</v>
      </c>
    </row>
    <row r="96" spans="1:8">
      <c r="A96">
        <v>46</v>
      </c>
      <c r="B96" t="s">
        <v>1274</v>
      </c>
      <c r="C96" s="451">
        <v>0</v>
      </c>
      <c r="E96" t="s">
        <v>1183</v>
      </c>
      <c r="F96" t="s">
        <v>1183</v>
      </c>
      <c r="G96" t="s">
        <v>1183</v>
      </c>
      <c r="H96" t="s">
        <v>1183</v>
      </c>
    </row>
    <row r="97" spans="1:8">
      <c r="A97">
        <v>46</v>
      </c>
      <c r="B97" t="s">
        <v>1275</v>
      </c>
      <c r="C97" s="451">
        <v>0</v>
      </c>
      <c r="E97" t="s">
        <v>1183</v>
      </c>
      <c r="F97" t="s">
        <v>1183</v>
      </c>
      <c r="G97" t="s">
        <v>1183</v>
      </c>
      <c r="H97" t="s">
        <v>1183</v>
      </c>
    </row>
    <row r="98" spans="1:8">
      <c r="A98">
        <v>46</v>
      </c>
      <c r="B98" t="s">
        <v>1276</v>
      </c>
      <c r="C98" s="451">
        <v>750000</v>
      </c>
      <c r="E98" t="s">
        <v>1183</v>
      </c>
      <c r="F98" t="s">
        <v>1183</v>
      </c>
      <c r="G98" t="s">
        <v>1183</v>
      </c>
      <c r="H98" t="s">
        <v>1183</v>
      </c>
    </row>
    <row r="99" spans="1:8">
      <c r="A99">
        <v>46</v>
      </c>
      <c r="B99" t="s">
        <v>1277</v>
      </c>
      <c r="C99" s="451">
        <v>31</v>
      </c>
      <c r="E99" t="s">
        <v>1183</v>
      </c>
      <c r="F99" t="s">
        <v>1183</v>
      </c>
      <c r="G99" t="s">
        <v>1183</v>
      </c>
      <c r="H99" t="s">
        <v>1183</v>
      </c>
    </row>
    <row r="100" spans="1:8">
      <c r="A100">
        <v>46</v>
      </c>
      <c r="B100" t="s">
        <v>1278</v>
      </c>
      <c r="C100" s="451">
        <v>2046379.05</v>
      </c>
      <c r="E100" t="s">
        <v>1183</v>
      </c>
      <c r="F100" t="s">
        <v>1183</v>
      </c>
      <c r="G100" t="s">
        <v>1183</v>
      </c>
      <c r="H100" t="s">
        <v>1183</v>
      </c>
    </row>
    <row r="101" spans="1:8">
      <c r="A101">
        <v>46</v>
      </c>
      <c r="B101" t="s">
        <v>1279</v>
      </c>
      <c r="C101" s="451">
        <v>213998.4</v>
      </c>
      <c r="E101" t="s">
        <v>1183</v>
      </c>
      <c r="F101" t="s">
        <v>1183</v>
      </c>
      <c r="G101" t="s">
        <v>1183</v>
      </c>
      <c r="H101" t="s">
        <v>1183</v>
      </c>
    </row>
    <row r="102" spans="1:8">
      <c r="A102">
        <v>46</v>
      </c>
      <c r="B102" t="s">
        <v>1280</v>
      </c>
      <c r="C102" s="451">
        <v>219507.6</v>
      </c>
      <c r="E102" t="s">
        <v>1183</v>
      </c>
      <c r="F102" t="s">
        <v>1183</v>
      </c>
      <c r="G102" t="s">
        <v>1183</v>
      </c>
      <c r="H102" t="s">
        <v>1183</v>
      </c>
    </row>
    <row r="103" spans="1:8">
      <c r="A103">
        <v>46</v>
      </c>
      <c r="B103" t="s">
        <v>1281</v>
      </c>
      <c r="C103" s="451">
        <v>110889.9</v>
      </c>
      <c r="E103" t="s">
        <v>1183</v>
      </c>
      <c r="F103" t="s">
        <v>1183</v>
      </c>
      <c r="G103" t="s">
        <v>1183</v>
      </c>
      <c r="H103" t="s">
        <v>1183</v>
      </c>
    </row>
    <row r="104" spans="1:8">
      <c r="A104">
        <v>46</v>
      </c>
      <c r="B104" t="s">
        <v>1282</v>
      </c>
      <c r="C104" s="451">
        <v>189489.3</v>
      </c>
      <c r="E104" t="s">
        <v>1183</v>
      </c>
      <c r="F104" t="s">
        <v>1183</v>
      </c>
      <c r="G104" t="s">
        <v>1183</v>
      </c>
      <c r="H104" t="s">
        <v>1183</v>
      </c>
    </row>
    <row r="105" spans="1:8">
      <c r="A105">
        <v>46</v>
      </c>
      <c r="B105" t="s">
        <v>1283</v>
      </c>
      <c r="C105" s="451">
        <v>39996</v>
      </c>
      <c r="E105" t="s">
        <v>1183</v>
      </c>
      <c r="F105" t="s">
        <v>1183</v>
      </c>
      <c r="G105" t="s">
        <v>1183</v>
      </c>
      <c r="H105" t="s">
        <v>1183</v>
      </c>
    </row>
    <row r="106" spans="1:8">
      <c r="A106">
        <v>46</v>
      </c>
      <c r="B106" t="s">
        <v>1284</v>
      </c>
      <c r="C106" s="451">
        <v>1.866E-2</v>
      </c>
      <c r="E106" t="s">
        <v>1183</v>
      </c>
      <c r="F106" t="s">
        <v>1183</v>
      </c>
      <c r="G106" t="s">
        <v>1183</v>
      </c>
      <c r="H106" t="s">
        <v>1183</v>
      </c>
    </row>
    <row r="107" spans="1:8">
      <c r="A107">
        <v>46</v>
      </c>
      <c r="B107" t="s">
        <v>1285</v>
      </c>
      <c r="C107" s="451">
        <v>750000</v>
      </c>
      <c r="E107" t="s">
        <v>1183</v>
      </c>
      <c r="F107" t="s">
        <v>1183</v>
      </c>
      <c r="G107" t="s">
        <v>1183</v>
      </c>
      <c r="H107" t="s">
        <v>1183</v>
      </c>
    </row>
    <row r="108" spans="1:8">
      <c r="A108">
        <v>46</v>
      </c>
      <c r="B108" t="s">
        <v>1286</v>
      </c>
      <c r="C108" s="451">
        <v>7929570.4199999999</v>
      </c>
      <c r="E108" t="s">
        <v>1183</v>
      </c>
      <c r="F108" t="s">
        <v>1183</v>
      </c>
      <c r="G108" t="s">
        <v>1183</v>
      </c>
      <c r="H108" t="s">
        <v>1183</v>
      </c>
    </row>
    <row r="109" spans="1:8">
      <c r="A109">
        <v>46</v>
      </c>
      <c r="B109" t="s">
        <v>1287</v>
      </c>
      <c r="C109" s="451">
        <v>0</v>
      </c>
      <c r="E109" t="s">
        <v>1183</v>
      </c>
      <c r="F109" t="s">
        <v>1183</v>
      </c>
      <c r="G109" t="s">
        <v>1183</v>
      </c>
      <c r="H109" t="s">
        <v>1183</v>
      </c>
    </row>
    <row r="110" spans="1:8">
      <c r="A110">
        <v>46</v>
      </c>
      <c r="B110" t="s">
        <v>1288</v>
      </c>
      <c r="C110" s="451">
        <v>107353.22</v>
      </c>
      <c r="E110" t="s">
        <v>1183</v>
      </c>
      <c r="F110" t="s">
        <v>1183</v>
      </c>
      <c r="G110" t="s">
        <v>1183</v>
      </c>
      <c r="H110" t="s">
        <v>1183</v>
      </c>
    </row>
    <row r="111" spans="1:8">
      <c r="A111">
        <v>46</v>
      </c>
      <c r="B111" t="s">
        <v>1289</v>
      </c>
      <c r="C111" s="451">
        <v>0.03</v>
      </c>
      <c r="E111" t="s">
        <v>1183</v>
      </c>
      <c r="F111" t="s">
        <v>1183</v>
      </c>
      <c r="G111" t="s">
        <v>1183</v>
      </c>
      <c r="H111" t="s">
        <v>1183</v>
      </c>
    </row>
    <row r="112" spans="1:8">
      <c r="A112">
        <v>46</v>
      </c>
      <c r="B112" t="s">
        <v>1290</v>
      </c>
      <c r="C112" s="451">
        <v>0</v>
      </c>
      <c r="E112" t="s">
        <v>1183</v>
      </c>
      <c r="F112" t="s">
        <v>1183</v>
      </c>
      <c r="G112" t="s">
        <v>1183</v>
      </c>
      <c r="H112" t="s">
        <v>1183</v>
      </c>
    </row>
    <row r="113" spans="1:8">
      <c r="A113">
        <v>46</v>
      </c>
      <c r="B113" t="s">
        <v>1291</v>
      </c>
      <c r="C113" s="451">
        <v>18014614.390000001</v>
      </c>
      <c r="E113" t="s">
        <v>1183</v>
      </c>
      <c r="F113" t="s">
        <v>1183</v>
      </c>
      <c r="G113" t="s">
        <v>1183</v>
      </c>
      <c r="H113" t="s">
        <v>1183</v>
      </c>
    </row>
    <row r="114" spans="1:8">
      <c r="A114">
        <v>46</v>
      </c>
      <c r="B114" t="s">
        <v>1292</v>
      </c>
      <c r="C114" s="451">
        <v>208.58</v>
      </c>
      <c r="E114" t="s">
        <v>1183</v>
      </c>
      <c r="F114" t="s">
        <v>1183</v>
      </c>
      <c r="G114" t="s">
        <v>1183</v>
      </c>
      <c r="H114" t="s">
        <v>1183</v>
      </c>
    </row>
    <row r="115" spans="1:8">
      <c r="A115">
        <v>46</v>
      </c>
      <c r="B115" t="s">
        <v>1293</v>
      </c>
      <c r="C115" s="451">
        <v>0</v>
      </c>
      <c r="E115" t="s">
        <v>1183</v>
      </c>
      <c r="F115" t="s">
        <v>1183</v>
      </c>
      <c r="G115" t="s">
        <v>1183</v>
      </c>
      <c r="H115" t="s">
        <v>1183</v>
      </c>
    </row>
    <row r="116" spans="1:8">
      <c r="A116">
        <v>46</v>
      </c>
      <c r="B116" t="s">
        <v>1294</v>
      </c>
      <c r="C116" s="451">
        <v>0</v>
      </c>
      <c r="E116" t="s">
        <v>1183</v>
      </c>
      <c r="F116" t="s">
        <v>1183</v>
      </c>
      <c r="G116" t="s">
        <v>1183</v>
      </c>
      <c r="H116" t="s">
        <v>1183</v>
      </c>
    </row>
    <row r="117" spans="1:8">
      <c r="A117">
        <v>46</v>
      </c>
      <c r="B117" t="s">
        <v>1295</v>
      </c>
      <c r="C117" s="451">
        <v>0</v>
      </c>
      <c r="E117" t="s">
        <v>1183</v>
      </c>
      <c r="F117" t="s">
        <v>1183</v>
      </c>
      <c r="G117" t="s">
        <v>1183</v>
      </c>
      <c r="H117" t="s">
        <v>1183</v>
      </c>
    </row>
    <row r="118" spans="1:8">
      <c r="A118">
        <v>46</v>
      </c>
      <c r="B118" t="s">
        <v>1296</v>
      </c>
      <c r="C118" s="451">
        <v>0</v>
      </c>
      <c r="E118" t="s">
        <v>1183</v>
      </c>
      <c r="F118" t="s">
        <v>1183</v>
      </c>
      <c r="G118" t="s">
        <v>1183</v>
      </c>
      <c r="H118" t="s">
        <v>1183</v>
      </c>
    </row>
    <row r="119" spans="1:8">
      <c r="A119">
        <v>46</v>
      </c>
      <c r="B119" t="s">
        <v>1297</v>
      </c>
      <c r="C119" s="451">
        <v>26051746.640000001</v>
      </c>
      <c r="E119" t="s">
        <v>1183</v>
      </c>
      <c r="F119" t="s">
        <v>1183</v>
      </c>
      <c r="G119" t="s">
        <v>1183</v>
      </c>
      <c r="H119" t="s">
        <v>1183</v>
      </c>
    </row>
    <row r="120" spans="1:8">
      <c r="A120">
        <v>46</v>
      </c>
      <c r="B120" t="s">
        <v>1297</v>
      </c>
      <c r="C120" s="451">
        <v>26051746.640000001</v>
      </c>
      <c r="E120" t="s">
        <v>1183</v>
      </c>
      <c r="F120" t="s">
        <v>1183</v>
      </c>
      <c r="G120" t="s">
        <v>1183</v>
      </c>
      <c r="H120" t="s">
        <v>1183</v>
      </c>
    </row>
    <row r="121" spans="1:8">
      <c r="A121">
        <v>46</v>
      </c>
      <c r="B121" t="s">
        <v>1298</v>
      </c>
      <c r="C121" s="451">
        <v>15.55</v>
      </c>
      <c r="E121" t="s">
        <v>1183</v>
      </c>
      <c r="F121" t="s">
        <v>1183</v>
      </c>
      <c r="G121" t="s">
        <v>1183</v>
      </c>
      <c r="H121" t="s">
        <v>1183</v>
      </c>
    </row>
    <row r="122" spans="1:8">
      <c r="A122">
        <v>46</v>
      </c>
      <c r="B122" t="s">
        <v>1299</v>
      </c>
      <c r="C122" s="451">
        <v>0</v>
      </c>
      <c r="E122" t="s">
        <v>1183</v>
      </c>
      <c r="F122" t="s">
        <v>1183</v>
      </c>
      <c r="G122" t="s">
        <v>1183</v>
      </c>
      <c r="H122" t="s">
        <v>1183</v>
      </c>
    </row>
    <row r="123" spans="1:8">
      <c r="A123">
        <v>46</v>
      </c>
      <c r="B123" t="s">
        <v>1300</v>
      </c>
      <c r="C123" s="451">
        <v>798260.67</v>
      </c>
      <c r="E123" t="s">
        <v>1183</v>
      </c>
      <c r="F123" t="s">
        <v>1183</v>
      </c>
      <c r="G123" t="s">
        <v>1183</v>
      </c>
      <c r="H123" t="s">
        <v>1183</v>
      </c>
    </row>
    <row r="124" spans="1:8">
      <c r="A124">
        <v>46</v>
      </c>
      <c r="B124" t="s">
        <v>1301</v>
      </c>
      <c r="C124" s="451">
        <v>2046379.05</v>
      </c>
      <c r="E124" t="s">
        <v>1183</v>
      </c>
      <c r="F124" t="s">
        <v>1183</v>
      </c>
      <c r="G124" t="s">
        <v>1183</v>
      </c>
      <c r="H124" t="s">
        <v>1183</v>
      </c>
    </row>
    <row r="125" spans="1:8">
      <c r="A125">
        <v>46</v>
      </c>
      <c r="B125" t="s">
        <v>1302</v>
      </c>
      <c r="C125" s="451">
        <v>213998.4</v>
      </c>
      <c r="E125" t="s">
        <v>1183</v>
      </c>
      <c r="F125" t="s">
        <v>1183</v>
      </c>
      <c r="G125" t="s">
        <v>1183</v>
      </c>
      <c r="H125" t="s">
        <v>1183</v>
      </c>
    </row>
    <row r="126" spans="1:8">
      <c r="A126">
        <v>46</v>
      </c>
      <c r="B126" t="s">
        <v>1303</v>
      </c>
      <c r="C126" s="451">
        <v>219507.6</v>
      </c>
      <c r="E126" t="s">
        <v>1183</v>
      </c>
      <c r="F126" t="s">
        <v>1183</v>
      </c>
      <c r="G126" t="s">
        <v>1183</v>
      </c>
      <c r="H126" t="s">
        <v>1183</v>
      </c>
    </row>
    <row r="127" spans="1:8">
      <c r="A127">
        <v>46</v>
      </c>
      <c r="B127" t="s">
        <v>1304</v>
      </c>
      <c r="C127" s="451">
        <v>110889.9</v>
      </c>
      <c r="E127" t="s">
        <v>1183</v>
      </c>
      <c r="F127" t="s">
        <v>1183</v>
      </c>
      <c r="G127" t="s">
        <v>1183</v>
      </c>
      <c r="H127" t="s">
        <v>1183</v>
      </c>
    </row>
    <row r="128" spans="1:8">
      <c r="A128">
        <v>46</v>
      </c>
      <c r="B128" t="s">
        <v>1305</v>
      </c>
      <c r="C128" s="451">
        <v>189489.3</v>
      </c>
      <c r="E128" t="s">
        <v>1183</v>
      </c>
      <c r="F128" t="s">
        <v>1183</v>
      </c>
      <c r="G128" t="s">
        <v>1183</v>
      </c>
      <c r="H128" t="s">
        <v>1183</v>
      </c>
    </row>
    <row r="129" spans="1:8">
      <c r="A129">
        <v>46</v>
      </c>
      <c r="B129" t="s">
        <v>1306</v>
      </c>
      <c r="C129" s="451">
        <v>39996</v>
      </c>
      <c r="E129" t="s">
        <v>1183</v>
      </c>
      <c r="F129" t="s">
        <v>1183</v>
      </c>
      <c r="G129" t="s">
        <v>1183</v>
      </c>
      <c r="H129" t="s">
        <v>1183</v>
      </c>
    </row>
    <row r="130" spans="1:8">
      <c r="A130">
        <v>46</v>
      </c>
      <c r="B130" t="s">
        <v>1307</v>
      </c>
      <c r="C130" s="451">
        <v>17359083.66</v>
      </c>
      <c r="E130" t="s">
        <v>1183</v>
      </c>
      <c r="F130" t="s">
        <v>1183</v>
      </c>
      <c r="G130" t="s">
        <v>1183</v>
      </c>
      <c r="H130" t="s">
        <v>1183</v>
      </c>
    </row>
    <row r="131" spans="1:8">
      <c r="A131">
        <v>46</v>
      </c>
      <c r="B131" t="s">
        <v>1308</v>
      </c>
      <c r="C131" s="451">
        <v>3646087.28</v>
      </c>
      <c r="E131" t="s">
        <v>1183</v>
      </c>
      <c r="F131" t="s">
        <v>1183</v>
      </c>
      <c r="G131" t="s">
        <v>1183</v>
      </c>
      <c r="H131" t="s">
        <v>1183</v>
      </c>
    </row>
    <row r="132" spans="1:8">
      <c r="A132">
        <v>46</v>
      </c>
      <c r="B132" t="s">
        <v>1309</v>
      </c>
      <c r="C132" s="451">
        <v>0</v>
      </c>
      <c r="E132" t="s">
        <v>1183</v>
      </c>
      <c r="F132" t="s">
        <v>1183</v>
      </c>
      <c r="G132" t="s">
        <v>1183</v>
      </c>
      <c r="H132" t="s">
        <v>1183</v>
      </c>
    </row>
    <row r="133" spans="1:8">
      <c r="A133">
        <v>46</v>
      </c>
      <c r="B133" t="s">
        <v>1310</v>
      </c>
      <c r="C133" s="451">
        <v>0</v>
      </c>
      <c r="E133" t="s">
        <v>1183</v>
      </c>
      <c r="F133" t="s">
        <v>1183</v>
      </c>
      <c r="G133" t="s">
        <v>1183</v>
      </c>
      <c r="H133" t="s">
        <v>1183</v>
      </c>
    </row>
    <row r="134" spans="1:8">
      <c r="A134">
        <v>46</v>
      </c>
      <c r="B134" t="s">
        <v>1311</v>
      </c>
      <c r="C134" s="451">
        <v>0</v>
      </c>
      <c r="E134" t="s">
        <v>1183</v>
      </c>
      <c r="F134" t="s">
        <v>1183</v>
      </c>
      <c r="G134" t="s">
        <v>1183</v>
      </c>
      <c r="H134" t="s">
        <v>1183</v>
      </c>
    </row>
    <row r="135" spans="1:8">
      <c r="A135">
        <v>46</v>
      </c>
      <c r="B135" t="s">
        <v>1312</v>
      </c>
      <c r="C135" s="451">
        <v>0</v>
      </c>
      <c r="E135" t="s">
        <v>1183</v>
      </c>
      <c r="F135" t="s">
        <v>1183</v>
      </c>
      <c r="G135" t="s">
        <v>1183</v>
      </c>
      <c r="H135" t="s">
        <v>1183</v>
      </c>
    </row>
    <row r="136" spans="1:8">
      <c r="A136">
        <v>46</v>
      </c>
      <c r="B136" t="s">
        <v>1313</v>
      </c>
      <c r="C136" s="451">
        <v>0</v>
      </c>
      <c r="E136" t="s">
        <v>1183</v>
      </c>
      <c r="F136" t="s">
        <v>1183</v>
      </c>
      <c r="G136" t="s">
        <v>1183</v>
      </c>
      <c r="H136" t="s">
        <v>1183</v>
      </c>
    </row>
    <row r="137" spans="1:8">
      <c r="A137">
        <v>46</v>
      </c>
      <c r="B137" t="s">
        <v>1314</v>
      </c>
      <c r="C137" s="451">
        <v>750000</v>
      </c>
      <c r="E137" t="s">
        <v>1183</v>
      </c>
      <c r="F137" t="s">
        <v>1183</v>
      </c>
      <c r="G137" t="s">
        <v>1183</v>
      </c>
      <c r="H137" t="s">
        <v>1183</v>
      </c>
    </row>
    <row r="138" spans="1:8">
      <c r="A138">
        <v>46</v>
      </c>
      <c r="B138" t="s">
        <v>1315</v>
      </c>
      <c r="C138" s="451">
        <v>0</v>
      </c>
      <c r="E138" t="s">
        <v>1183</v>
      </c>
      <c r="F138" t="s">
        <v>1183</v>
      </c>
      <c r="G138" t="s">
        <v>1183</v>
      </c>
      <c r="H138" t="s">
        <v>1183</v>
      </c>
    </row>
    <row r="139" spans="1:8">
      <c r="A139">
        <v>46</v>
      </c>
      <c r="B139" t="s">
        <v>1316</v>
      </c>
      <c r="C139" s="451">
        <v>0</v>
      </c>
      <c r="E139" t="s">
        <v>1183</v>
      </c>
      <c r="F139" t="s">
        <v>1183</v>
      </c>
      <c r="G139" t="s">
        <v>1183</v>
      </c>
      <c r="H139" t="s">
        <v>1183</v>
      </c>
    </row>
    <row r="140" spans="1:8">
      <c r="A140">
        <v>46</v>
      </c>
      <c r="B140" t="s">
        <v>1317</v>
      </c>
      <c r="C140" s="451">
        <v>16170.31</v>
      </c>
      <c r="E140" t="s">
        <v>1183</v>
      </c>
      <c r="F140" t="s">
        <v>1183</v>
      </c>
      <c r="G140" t="s">
        <v>1183</v>
      </c>
      <c r="H140" t="s">
        <v>1183</v>
      </c>
    </row>
    <row r="141" spans="1:8">
      <c r="A141">
        <v>46</v>
      </c>
      <c r="B141" t="s">
        <v>1318</v>
      </c>
      <c r="C141" s="451">
        <v>661868.92000000004</v>
      </c>
      <c r="E141" t="s">
        <v>1183</v>
      </c>
      <c r="F141" t="s">
        <v>1183</v>
      </c>
      <c r="G141" t="s">
        <v>1183</v>
      </c>
      <c r="H141" t="s">
        <v>1183</v>
      </c>
    </row>
    <row r="142" spans="1:8">
      <c r="A142">
        <v>46</v>
      </c>
      <c r="B142" t="s">
        <v>1319</v>
      </c>
      <c r="C142" s="451">
        <v>0</v>
      </c>
      <c r="E142" t="s">
        <v>1183</v>
      </c>
      <c r="F142" t="s">
        <v>1183</v>
      </c>
      <c r="G142" t="s">
        <v>1183</v>
      </c>
      <c r="H142" t="s">
        <v>1183</v>
      </c>
    </row>
    <row r="143" spans="1:8">
      <c r="A143">
        <v>46</v>
      </c>
      <c r="B143" t="s">
        <v>1320</v>
      </c>
      <c r="C143" s="451">
        <v>0</v>
      </c>
      <c r="E143" t="s">
        <v>1183</v>
      </c>
      <c r="F143" t="s">
        <v>1183</v>
      </c>
      <c r="G143" t="s">
        <v>1183</v>
      </c>
      <c r="H143" t="s">
        <v>1183</v>
      </c>
    </row>
    <row r="144" spans="1:8">
      <c r="A144">
        <v>46</v>
      </c>
      <c r="B144" t="s">
        <v>1321</v>
      </c>
      <c r="C144" s="451">
        <v>0</v>
      </c>
      <c r="E144" t="s">
        <v>1183</v>
      </c>
      <c r="F144" t="s">
        <v>1183</v>
      </c>
      <c r="G144" t="s">
        <v>1183</v>
      </c>
      <c r="H144" t="s">
        <v>1183</v>
      </c>
    </row>
    <row r="145" spans="1:8">
      <c r="A145">
        <v>46</v>
      </c>
      <c r="B145" t="s">
        <v>1322</v>
      </c>
      <c r="C145" s="451">
        <v>0</v>
      </c>
      <c r="E145" t="s">
        <v>1183</v>
      </c>
      <c r="F145" t="s">
        <v>1183</v>
      </c>
      <c r="G145" t="s">
        <v>1183</v>
      </c>
      <c r="H145" t="s">
        <v>1183</v>
      </c>
    </row>
    <row r="146" spans="1:8">
      <c r="A146">
        <v>46</v>
      </c>
      <c r="B146" t="s">
        <v>1323</v>
      </c>
      <c r="C146" s="451">
        <v>33132388.010000002</v>
      </c>
      <c r="E146" t="s">
        <v>1183</v>
      </c>
      <c r="F146" t="s">
        <v>1183</v>
      </c>
      <c r="G146" t="s">
        <v>1183</v>
      </c>
      <c r="H146" t="s">
        <v>1183</v>
      </c>
    </row>
    <row r="147" spans="1:8">
      <c r="A147">
        <v>46</v>
      </c>
      <c r="B147" t="s">
        <v>1324</v>
      </c>
      <c r="C147" s="451">
        <v>0</v>
      </c>
      <c r="E147" t="s">
        <v>1183</v>
      </c>
      <c r="F147" t="s">
        <v>1183</v>
      </c>
      <c r="G147" t="s">
        <v>1183</v>
      </c>
      <c r="H147" t="s">
        <v>1183</v>
      </c>
    </row>
    <row r="148" spans="1:8">
      <c r="A148">
        <v>46</v>
      </c>
      <c r="B148" t="s">
        <v>1325</v>
      </c>
      <c r="C148" s="451">
        <v>0</v>
      </c>
      <c r="E148" t="s">
        <v>1183</v>
      </c>
      <c r="F148" t="s">
        <v>1183</v>
      </c>
      <c r="G148" t="s">
        <v>1183</v>
      </c>
      <c r="H148" t="s">
        <v>1183</v>
      </c>
    </row>
    <row r="149" spans="1:8">
      <c r="A149">
        <v>46</v>
      </c>
      <c r="B149" t="s">
        <v>1326</v>
      </c>
      <c r="C149" s="451">
        <v>0</v>
      </c>
      <c r="E149" t="s">
        <v>1183</v>
      </c>
      <c r="F149" t="s">
        <v>1183</v>
      </c>
      <c r="G149" t="s">
        <v>1183</v>
      </c>
      <c r="H149" t="s">
        <v>1183</v>
      </c>
    </row>
    <row r="150" spans="1:8">
      <c r="A150">
        <v>46</v>
      </c>
      <c r="B150" t="s">
        <v>1327</v>
      </c>
      <c r="C150" s="451">
        <v>0</v>
      </c>
      <c r="E150" t="s">
        <v>1183</v>
      </c>
      <c r="F150" t="s">
        <v>1183</v>
      </c>
      <c r="G150" t="s">
        <v>1183</v>
      </c>
      <c r="H150" t="s">
        <v>1183</v>
      </c>
    </row>
    <row r="151" spans="1:8">
      <c r="A151">
        <v>46</v>
      </c>
      <c r="B151" t="s">
        <v>1328</v>
      </c>
      <c r="C151" s="451">
        <v>34.74</v>
      </c>
      <c r="E151" t="s">
        <v>1183</v>
      </c>
      <c r="F151" t="s">
        <v>1183</v>
      </c>
      <c r="G151" t="s">
        <v>1183</v>
      </c>
      <c r="H151" t="s">
        <v>1183</v>
      </c>
    </row>
    <row r="152" spans="1:8">
      <c r="A152">
        <v>46</v>
      </c>
      <c r="B152" t="s">
        <v>1329</v>
      </c>
      <c r="C152" s="451">
        <v>0</v>
      </c>
      <c r="E152" t="s">
        <v>1183</v>
      </c>
      <c r="F152" t="s">
        <v>1183</v>
      </c>
      <c r="G152" t="s">
        <v>1183</v>
      </c>
      <c r="H152" t="s">
        <v>1183</v>
      </c>
    </row>
    <row r="153" spans="1:8">
      <c r="A153">
        <v>46</v>
      </c>
      <c r="B153" t="s">
        <v>1330</v>
      </c>
      <c r="C153" s="451">
        <v>3646087.28</v>
      </c>
      <c r="E153" t="s">
        <v>1183</v>
      </c>
      <c r="F153" t="s">
        <v>1183</v>
      </c>
      <c r="G153" t="s">
        <v>1183</v>
      </c>
      <c r="H153" t="s">
        <v>1183</v>
      </c>
    </row>
    <row r="154" spans="1:8">
      <c r="A154">
        <v>46</v>
      </c>
      <c r="B154" t="s">
        <v>1331</v>
      </c>
      <c r="C154" s="451">
        <v>0</v>
      </c>
      <c r="E154" t="s">
        <v>1183</v>
      </c>
      <c r="F154" t="s">
        <v>1183</v>
      </c>
      <c r="G154" t="s">
        <v>1183</v>
      </c>
      <c r="H154" t="s">
        <v>1183</v>
      </c>
    </row>
    <row r="155" spans="1:8">
      <c r="A155">
        <v>46</v>
      </c>
      <c r="B155" t="s">
        <v>1332</v>
      </c>
      <c r="C155" s="451">
        <v>36778510.030000001</v>
      </c>
      <c r="E155" t="s">
        <v>1183</v>
      </c>
      <c r="F155" t="s">
        <v>1183</v>
      </c>
      <c r="G155" t="s">
        <v>1183</v>
      </c>
      <c r="H155" t="s">
        <v>1183</v>
      </c>
    </row>
    <row r="156" spans="1:8">
      <c r="A156">
        <v>46</v>
      </c>
      <c r="B156" t="s">
        <v>1332</v>
      </c>
      <c r="C156" s="451">
        <v>36778510.030000001</v>
      </c>
      <c r="E156" t="s">
        <v>1183</v>
      </c>
      <c r="F156" t="s">
        <v>1183</v>
      </c>
      <c r="G156" t="s">
        <v>1183</v>
      </c>
      <c r="H156" t="s">
        <v>1183</v>
      </c>
    </row>
    <row r="157" spans="1:8">
      <c r="A157">
        <v>46</v>
      </c>
      <c r="B157" t="s">
        <v>1333</v>
      </c>
      <c r="C157" s="451">
        <v>0</v>
      </c>
      <c r="E157" t="s">
        <v>1183</v>
      </c>
      <c r="F157" t="s">
        <v>1183</v>
      </c>
      <c r="G157" t="s">
        <v>1183</v>
      </c>
      <c r="H157" t="s">
        <v>1183</v>
      </c>
    </row>
    <row r="158" spans="1:8">
      <c r="A158">
        <v>46</v>
      </c>
      <c r="B158" t="s">
        <v>1334</v>
      </c>
      <c r="C158" s="451">
        <v>36778510.030000001</v>
      </c>
      <c r="E158" t="s">
        <v>1183</v>
      </c>
      <c r="F158" t="s">
        <v>1183</v>
      </c>
      <c r="G158" t="s">
        <v>1183</v>
      </c>
      <c r="H158" t="s">
        <v>1183</v>
      </c>
    </row>
    <row r="159" spans="1:8">
      <c r="A159">
        <v>46</v>
      </c>
      <c r="B159" t="s">
        <v>225</v>
      </c>
      <c r="C159" s="451">
        <v>0</v>
      </c>
      <c r="E159" t="s">
        <v>1183</v>
      </c>
      <c r="F159" t="s">
        <v>1183</v>
      </c>
      <c r="G159" t="s">
        <v>1183</v>
      </c>
      <c r="H159" t="s">
        <v>1183</v>
      </c>
    </row>
    <row r="160" spans="1:8">
      <c r="A160">
        <v>46</v>
      </c>
      <c r="B160" t="s">
        <v>1335</v>
      </c>
      <c r="C160" s="451">
        <v>0</v>
      </c>
      <c r="E160" t="s">
        <v>1183</v>
      </c>
      <c r="F160" t="s">
        <v>1183</v>
      </c>
      <c r="G160" t="s">
        <v>1183</v>
      </c>
      <c r="H160" t="s">
        <v>1183</v>
      </c>
    </row>
    <row r="161" spans="1:8">
      <c r="A161">
        <v>46</v>
      </c>
      <c r="B161" t="s">
        <v>1336</v>
      </c>
      <c r="C161" s="451">
        <v>36778481.100000001</v>
      </c>
      <c r="E161" t="s">
        <v>1183</v>
      </c>
      <c r="F161" t="s">
        <v>1183</v>
      </c>
      <c r="G161" t="s">
        <v>1183</v>
      </c>
      <c r="H161" t="s">
        <v>1183</v>
      </c>
    </row>
    <row r="162" spans="1:8">
      <c r="A162">
        <v>46</v>
      </c>
      <c r="B162" t="s">
        <v>1337</v>
      </c>
      <c r="C162" s="451">
        <v>0</v>
      </c>
      <c r="E162" t="s">
        <v>1183</v>
      </c>
      <c r="F162" t="s">
        <v>1183</v>
      </c>
      <c r="G162" t="s">
        <v>1183</v>
      </c>
      <c r="H162" t="s">
        <v>1183</v>
      </c>
    </row>
    <row r="163" spans="1:8">
      <c r="A163">
        <v>46</v>
      </c>
      <c r="B163" t="s">
        <v>1338</v>
      </c>
      <c r="C163" s="451">
        <v>0</v>
      </c>
      <c r="E163" t="s">
        <v>1183</v>
      </c>
      <c r="F163" t="s">
        <v>1183</v>
      </c>
      <c r="G163" t="s">
        <v>1183</v>
      </c>
      <c r="H163" t="s">
        <v>1183</v>
      </c>
    </row>
    <row r="164" spans="1:8">
      <c r="A164">
        <v>46</v>
      </c>
      <c r="B164" t="s">
        <v>1339</v>
      </c>
      <c r="C164" s="451">
        <v>0</v>
      </c>
      <c r="E164" t="s">
        <v>1183</v>
      </c>
      <c r="F164" t="s">
        <v>1183</v>
      </c>
      <c r="G164" t="s">
        <v>1183</v>
      </c>
      <c r="H164" t="s">
        <v>1183</v>
      </c>
    </row>
    <row r="165" spans="1:8">
      <c r="A165">
        <v>46</v>
      </c>
      <c r="B165" t="s">
        <v>1340</v>
      </c>
      <c r="C165" s="451">
        <v>0</v>
      </c>
      <c r="E165" t="s">
        <v>1183</v>
      </c>
      <c r="F165" t="s">
        <v>1183</v>
      </c>
      <c r="G165" t="s">
        <v>1183</v>
      </c>
      <c r="H165" t="s">
        <v>1183</v>
      </c>
    </row>
    <row r="166" spans="1:8">
      <c r="A166">
        <v>46</v>
      </c>
      <c r="B166" t="s">
        <v>1341</v>
      </c>
      <c r="C166" s="451">
        <v>0</v>
      </c>
      <c r="E166" t="s">
        <v>1183</v>
      </c>
      <c r="F166" t="s">
        <v>1183</v>
      </c>
      <c r="G166" t="s">
        <v>1183</v>
      </c>
      <c r="H166" t="s">
        <v>1183</v>
      </c>
    </row>
    <row r="167" spans="1:8">
      <c r="A167">
        <v>46</v>
      </c>
      <c r="B167" t="s">
        <v>1342</v>
      </c>
      <c r="C167" s="451">
        <v>0</v>
      </c>
      <c r="E167" t="s">
        <v>1183</v>
      </c>
      <c r="F167" t="s">
        <v>1183</v>
      </c>
      <c r="G167" t="s">
        <v>1183</v>
      </c>
      <c r="H167" t="s">
        <v>1183</v>
      </c>
    </row>
    <row r="168" spans="1:8">
      <c r="A168">
        <v>46</v>
      </c>
      <c r="B168" t="s">
        <v>1343</v>
      </c>
      <c r="C168" s="451">
        <v>0</v>
      </c>
      <c r="E168" t="s">
        <v>1183</v>
      </c>
      <c r="F168" t="s">
        <v>1183</v>
      </c>
      <c r="G168" t="s">
        <v>1183</v>
      </c>
      <c r="H168" t="s">
        <v>1183</v>
      </c>
    </row>
    <row r="169" spans="1:8">
      <c r="A169">
        <v>46</v>
      </c>
      <c r="B169" t="s">
        <v>1344</v>
      </c>
      <c r="C169" s="451">
        <v>0</v>
      </c>
      <c r="E169" t="s">
        <v>1183</v>
      </c>
      <c r="F169" t="s">
        <v>1183</v>
      </c>
      <c r="G169" t="s">
        <v>1183</v>
      </c>
      <c r="H169" t="s">
        <v>1183</v>
      </c>
    </row>
    <row r="170" spans="1:8">
      <c r="A170">
        <v>46</v>
      </c>
      <c r="B170" t="s">
        <v>1345</v>
      </c>
      <c r="C170" s="451">
        <v>0</v>
      </c>
      <c r="E170" t="s">
        <v>1183</v>
      </c>
      <c r="F170" t="s">
        <v>1183</v>
      </c>
      <c r="G170" t="s">
        <v>1183</v>
      </c>
      <c r="H170" t="s">
        <v>1183</v>
      </c>
    </row>
    <row r="171" spans="1:8">
      <c r="A171">
        <v>46</v>
      </c>
      <c r="B171" t="s">
        <v>1346</v>
      </c>
      <c r="C171" s="451">
        <v>0</v>
      </c>
      <c r="E171" t="s">
        <v>1183</v>
      </c>
      <c r="F171" t="s">
        <v>1183</v>
      </c>
      <c r="G171" t="s">
        <v>1183</v>
      </c>
      <c r="H171" t="s">
        <v>1183</v>
      </c>
    </row>
    <row r="172" spans="1:8">
      <c r="A172">
        <v>46</v>
      </c>
      <c r="B172" t="s">
        <v>1347</v>
      </c>
      <c r="C172" s="451">
        <v>0</v>
      </c>
      <c r="E172" t="s">
        <v>1183</v>
      </c>
      <c r="F172" t="s">
        <v>1183</v>
      </c>
      <c r="G172" t="s">
        <v>1183</v>
      </c>
      <c r="H172" t="s">
        <v>1183</v>
      </c>
    </row>
    <row r="173" spans="1:8">
      <c r="A173">
        <v>46</v>
      </c>
      <c r="B173" t="s">
        <v>1348</v>
      </c>
      <c r="C173" s="451">
        <v>0</v>
      </c>
      <c r="E173" t="s">
        <v>1183</v>
      </c>
      <c r="F173" t="s">
        <v>1183</v>
      </c>
      <c r="G173" t="s">
        <v>1183</v>
      </c>
      <c r="H173" t="s">
        <v>1183</v>
      </c>
    </row>
    <row r="174" spans="1:8">
      <c r="A174">
        <v>46</v>
      </c>
      <c r="B174" t="s">
        <v>1349</v>
      </c>
      <c r="C174" s="451">
        <v>0</v>
      </c>
      <c r="E174" t="s">
        <v>1183</v>
      </c>
      <c r="F174" t="s">
        <v>1183</v>
      </c>
      <c r="G174" t="s">
        <v>1183</v>
      </c>
      <c r="H174" t="s">
        <v>1183</v>
      </c>
    </row>
    <row r="175" spans="1:8">
      <c r="A175">
        <v>46</v>
      </c>
      <c r="B175" t="s">
        <v>1350</v>
      </c>
      <c r="C175" s="451">
        <v>28.93</v>
      </c>
      <c r="E175" t="s">
        <v>1183</v>
      </c>
      <c r="F175" t="s">
        <v>1183</v>
      </c>
      <c r="G175" t="s">
        <v>1183</v>
      </c>
      <c r="H175" t="s">
        <v>1183</v>
      </c>
    </row>
    <row r="176" spans="1:8">
      <c r="A176">
        <v>46</v>
      </c>
      <c r="B176" t="s">
        <v>1351</v>
      </c>
      <c r="C176" s="451">
        <v>0</v>
      </c>
      <c r="E176" t="s">
        <v>1183</v>
      </c>
      <c r="F176" t="s">
        <v>1183</v>
      </c>
      <c r="G176" t="s">
        <v>1183</v>
      </c>
      <c r="H176" t="s">
        <v>1183</v>
      </c>
    </row>
    <row r="177" spans="1:8">
      <c r="A177">
        <v>46</v>
      </c>
      <c r="B177" t="s">
        <v>1298</v>
      </c>
      <c r="C177" s="451">
        <v>15.55</v>
      </c>
      <c r="E177" t="s">
        <v>1183</v>
      </c>
      <c r="F177" t="s">
        <v>1183</v>
      </c>
      <c r="G177" t="s">
        <v>1183</v>
      </c>
      <c r="H177" t="s">
        <v>1183</v>
      </c>
    </row>
    <row r="178" spans="1:8">
      <c r="A178">
        <v>46</v>
      </c>
      <c r="B178" t="s">
        <v>1352</v>
      </c>
      <c r="C178" s="451">
        <v>2836430.56</v>
      </c>
      <c r="E178" t="s">
        <v>1183</v>
      </c>
      <c r="F178" t="s">
        <v>1183</v>
      </c>
      <c r="G178" t="s">
        <v>1183</v>
      </c>
      <c r="H178" t="s">
        <v>1183</v>
      </c>
    </row>
    <row r="179" spans="1:8">
      <c r="A179">
        <v>46</v>
      </c>
      <c r="B179" t="s">
        <v>1353</v>
      </c>
      <c r="C179" s="451">
        <v>2046379.05</v>
      </c>
      <c r="E179" t="s">
        <v>1183</v>
      </c>
      <c r="F179" t="s">
        <v>1183</v>
      </c>
      <c r="G179" t="s">
        <v>1183</v>
      </c>
      <c r="H179" t="s">
        <v>1183</v>
      </c>
    </row>
    <row r="180" spans="1:8">
      <c r="A180">
        <v>46</v>
      </c>
      <c r="B180" t="s">
        <v>1354</v>
      </c>
      <c r="C180" s="451">
        <v>213998.4</v>
      </c>
      <c r="E180" t="s">
        <v>1183</v>
      </c>
      <c r="F180" t="s">
        <v>1183</v>
      </c>
      <c r="G180" t="s">
        <v>1183</v>
      </c>
      <c r="H180" t="s">
        <v>1183</v>
      </c>
    </row>
    <row r="181" spans="1:8">
      <c r="A181">
        <v>46</v>
      </c>
      <c r="B181" t="s">
        <v>1355</v>
      </c>
      <c r="C181" s="451">
        <v>219507.6</v>
      </c>
      <c r="E181" t="s">
        <v>1183</v>
      </c>
      <c r="F181" t="s">
        <v>1183</v>
      </c>
      <c r="G181" t="s">
        <v>1183</v>
      </c>
      <c r="H181" t="s">
        <v>1183</v>
      </c>
    </row>
    <row r="182" spans="1:8">
      <c r="A182">
        <v>46</v>
      </c>
      <c r="B182" t="s">
        <v>1356</v>
      </c>
      <c r="C182" s="451">
        <v>110889.9</v>
      </c>
      <c r="E182" t="s">
        <v>1183</v>
      </c>
      <c r="F182" t="s">
        <v>1183</v>
      </c>
      <c r="G182" t="s">
        <v>1183</v>
      </c>
      <c r="H182" t="s">
        <v>1183</v>
      </c>
    </row>
    <row r="183" spans="1:8">
      <c r="A183">
        <v>46</v>
      </c>
      <c r="B183" t="s">
        <v>1357</v>
      </c>
      <c r="C183" s="451">
        <v>189489.3</v>
      </c>
      <c r="E183" t="s">
        <v>1183</v>
      </c>
      <c r="F183" t="s">
        <v>1183</v>
      </c>
      <c r="G183" t="s">
        <v>1183</v>
      </c>
      <c r="H183" t="s">
        <v>1183</v>
      </c>
    </row>
    <row r="184" spans="1:8">
      <c r="A184">
        <v>46</v>
      </c>
      <c r="B184" t="s">
        <v>1358</v>
      </c>
      <c r="C184" s="451">
        <v>39996</v>
      </c>
      <c r="E184" t="s">
        <v>1183</v>
      </c>
      <c r="F184" t="s">
        <v>1183</v>
      </c>
      <c r="G184" t="s">
        <v>1183</v>
      </c>
      <c r="H184" t="s">
        <v>1183</v>
      </c>
    </row>
    <row r="185" spans="1:8">
      <c r="A185">
        <v>46</v>
      </c>
      <c r="B185" t="s">
        <v>1359</v>
      </c>
      <c r="C185" s="451">
        <v>16170.31</v>
      </c>
      <c r="E185" t="s">
        <v>1183</v>
      </c>
      <c r="F185" t="s">
        <v>1183</v>
      </c>
      <c r="G185" t="s">
        <v>1183</v>
      </c>
      <c r="H185" t="s">
        <v>1183</v>
      </c>
    </row>
    <row r="186" spans="1:8">
      <c r="A186">
        <v>46</v>
      </c>
      <c r="B186" t="s">
        <v>1360</v>
      </c>
      <c r="C186" s="451">
        <v>69721175.150000006</v>
      </c>
      <c r="E186" t="s">
        <v>1183</v>
      </c>
      <c r="F186" t="s">
        <v>1183</v>
      </c>
      <c r="G186" t="s">
        <v>1183</v>
      </c>
      <c r="H186" t="s">
        <v>1183</v>
      </c>
    </row>
    <row r="187" spans="1:8">
      <c r="A187">
        <v>46</v>
      </c>
      <c r="B187" t="s">
        <v>1361</v>
      </c>
      <c r="C187" s="451">
        <v>54157308.75</v>
      </c>
      <c r="E187" t="s">
        <v>1183</v>
      </c>
      <c r="F187" t="s">
        <v>1183</v>
      </c>
      <c r="G187" t="s">
        <v>1183</v>
      </c>
      <c r="H187" t="s">
        <v>1183</v>
      </c>
    </row>
    <row r="188" spans="1:8">
      <c r="A188">
        <v>46</v>
      </c>
      <c r="B188" t="s">
        <v>1362</v>
      </c>
      <c r="C188" s="451">
        <v>4277473.2</v>
      </c>
      <c r="E188" t="s">
        <v>1183</v>
      </c>
      <c r="F188" t="s">
        <v>1183</v>
      </c>
      <c r="G188" t="s">
        <v>1183</v>
      </c>
      <c r="H188" t="s">
        <v>1183</v>
      </c>
    </row>
    <row r="189" spans="1:8">
      <c r="A189">
        <v>46</v>
      </c>
      <c r="B189" t="s">
        <v>1363</v>
      </c>
      <c r="C189" s="451">
        <v>4283939.4000000004</v>
      </c>
      <c r="E189" t="s">
        <v>1183</v>
      </c>
      <c r="F189" t="s">
        <v>1183</v>
      </c>
      <c r="G189" t="s">
        <v>1183</v>
      </c>
      <c r="H189" t="s">
        <v>1183</v>
      </c>
    </row>
    <row r="190" spans="1:8">
      <c r="A190">
        <v>46</v>
      </c>
      <c r="B190" t="s">
        <v>1364</v>
      </c>
      <c r="C190" s="451">
        <v>2101819.35</v>
      </c>
      <c r="E190" t="s">
        <v>1183</v>
      </c>
      <c r="F190" t="s">
        <v>1183</v>
      </c>
      <c r="G190" t="s">
        <v>1183</v>
      </c>
      <c r="H190" t="s">
        <v>1183</v>
      </c>
    </row>
    <row r="191" spans="1:8">
      <c r="A191">
        <v>46</v>
      </c>
      <c r="B191" t="s">
        <v>1365</v>
      </c>
      <c r="C191" s="451">
        <v>3337971</v>
      </c>
      <c r="E191" t="s">
        <v>1183</v>
      </c>
      <c r="F191" t="s">
        <v>1183</v>
      </c>
      <c r="G191" t="s">
        <v>1183</v>
      </c>
      <c r="H191" t="s">
        <v>1183</v>
      </c>
    </row>
    <row r="192" spans="1:8">
      <c r="A192">
        <v>46</v>
      </c>
      <c r="B192" t="s">
        <v>1366</v>
      </c>
      <c r="C192" s="451">
        <v>1277994.6000000001</v>
      </c>
      <c r="E192" t="s">
        <v>1183</v>
      </c>
      <c r="F192" t="s">
        <v>1183</v>
      </c>
      <c r="G192" t="s">
        <v>1183</v>
      </c>
      <c r="H192" t="s">
        <v>1183</v>
      </c>
    </row>
    <row r="193" spans="1:8">
      <c r="A193">
        <v>46</v>
      </c>
      <c r="B193" t="s">
        <v>1367</v>
      </c>
      <c r="C193" s="451">
        <v>284668.84999999998</v>
      </c>
      <c r="E193" t="s">
        <v>1183</v>
      </c>
      <c r="F193" t="s">
        <v>1183</v>
      </c>
      <c r="G193" t="s">
        <v>1183</v>
      </c>
      <c r="H193" t="s">
        <v>1183</v>
      </c>
    </row>
    <row r="194" spans="1:8">
      <c r="A194">
        <v>46</v>
      </c>
      <c r="B194" t="s">
        <v>1368</v>
      </c>
      <c r="C194" s="451">
        <v>2836430.56</v>
      </c>
      <c r="E194" t="s">
        <v>1183</v>
      </c>
      <c r="F194" t="s">
        <v>1183</v>
      </c>
      <c r="G194" t="s">
        <v>1183</v>
      </c>
      <c r="H194" t="s">
        <v>1183</v>
      </c>
    </row>
    <row r="195" spans="1:8">
      <c r="A195">
        <v>46</v>
      </c>
      <c r="B195" t="s">
        <v>1369</v>
      </c>
      <c r="C195" s="451">
        <v>2046379.05</v>
      </c>
      <c r="E195" t="s">
        <v>1183</v>
      </c>
      <c r="F195" t="s">
        <v>1183</v>
      </c>
      <c r="G195" t="s">
        <v>1183</v>
      </c>
      <c r="H195" t="s">
        <v>1183</v>
      </c>
    </row>
    <row r="196" spans="1:8">
      <c r="A196">
        <v>46</v>
      </c>
      <c r="B196" t="s">
        <v>1370</v>
      </c>
      <c r="C196" s="451">
        <v>213998.4</v>
      </c>
      <c r="E196" t="s">
        <v>1183</v>
      </c>
      <c r="F196" t="s">
        <v>1183</v>
      </c>
      <c r="G196" t="s">
        <v>1183</v>
      </c>
      <c r="H196" t="s">
        <v>1183</v>
      </c>
    </row>
    <row r="197" spans="1:8">
      <c r="A197">
        <v>46</v>
      </c>
      <c r="B197" t="s">
        <v>1371</v>
      </c>
      <c r="C197" s="451">
        <v>219507.6</v>
      </c>
      <c r="E197" t="s">
        <v>1183</v>
      </c>
      <c r="F197" t="s">
        <v>1183</v>
      </c>
      <c r="G197" t="s">
        <v>1183</v>
      </c>
      <c r="H197" t="s">
        <v>1183</v>
      </c>
    </row>
    <row r="198" spans="1:8">
      <c r="A198">
        <v>46</v>
      </c>
      <c r="B198" t="s">
        <v>1372</v>
      </c>
      <c r="C198" s="451">
        <v>110889.9</v>
      </c>
      <c r="E198" t="s">
        <v>1183</v>
      </c>
      <c r="F198" t="s">
        <v>1183</v>
      </c>
      <c r="G198" t="s">
        <v>1183</v>
      </c>
      <c r="H198" t="s">
        <v>1183</v>
      </c>
    </row>
    <row r="199" spans="1:8">
      <c r="A199">
        <v>46</v>
      </c>
      <c r="B199" t="s">
        <v>1373</v>
      </c>
      <c r="C199" s="451">
        <v>189489.3</v>
      </c>
      <c r="E199" t="s">
        <v>1183</v>
      </c>
      <c r="F199" t="s">
        <v>1183</v>
      </c>
      <c r="G199" t="s">
        <v>1183</v>
      </c>
      <c r="H199" t="s">
        <v>1183</v>
      </c>
    </row>
    <row r="200" spans="1:8">
      <c r="A200">
        <v>46</v>
      </c>
      <c r="B200" t="s">
        <v>1374</v>
      </c>
      <c r="C200" s="451">
        <v>39996</v>
      </c>
      <c r="E200" t="s">
        <v>1183</v>
      </c>
      <c r="F200" t="s">
        <v>1183</v>
      </c>
      <c r="G200" t="s">
        <v>1183</v>
      </c>
      <c r="H200" t="s">
        <v>1183</v>
      </c>
    </row>
    <row r="201" spans="1:8">
      <c r="A201">
        <v>46</v>
      </c>
      <c r="B201" t="s">
        <v>1375</v>
      </c>
      <c r="C201" s="451">
        <v>16170.31</v>
      </c>
      <c r="E201" t="s">
        <v>1183</v>
      </c>
      <c r="F201" t="s">
        <v>1183</v>
      </c>
      <c r="G201" t="s">
        <v>1183</v>
      </c>
      <c r="H201" t="s">
        <v>1183</v>
      </c>
    </row>
    <row r="202" spans="1:8">
      <c r="A202">
        <v>46</v>
      </c>
      <c r="B202" t="s">
        <v>1376</v>
      </c>
      <c r="C202" s="451">
        <v>69721175.150000006</v>
      </c>
      <c r="E202" t="s">
        <v>1183</v>
      </c>
      <c r="F202" t="s">
        <v>1183</v>
      </c>
      <c r="G202" t="s">
        <v>1183</v>
      </c>
      <c r="H202" t="s">
        <v>1183</v>
      </c>
    </row>
    <row r="203" spans="1:8">
      <c r="A203">
        <v>46</v>
      </c>
      <c r="B203" t="s">
        <v>1377</v>
      </c>
      <c r="C203" s="451">
        <v>54157308.75</v>
      </c>
      <c r="E203" t="s">
        <v>1183</v>
      </c>
      <c r="F203" t="s">
        <v>1183</v>
      </c>
      <c r="G203" t="s">
        <v>1183</v>
      </c>
      <c r="H203" t="s">
        <v>1183</v>
      </c>
    </row>
    <row r="204" spans="1:8">
      <c r="A204">
        <v>46</v>
      </c>
      <c r="B204" t="s">
        <v>1378</v>
      </c>
      <c r="C204" s="451">
        <v>4277473.2</v>
      </c>
      <c r="E204" t="s">
        <v>1183</v>
      </c>
      <c r="F204" t="s">
        <v>1183</v>
      </c>
      <c r="G204" t="s">
        <v>1183</v>
      </c>
      <c r="H204" t="s">
        <v>1183</v>
      </c>
    </row>
    <row r="205" spans="1:8">
      <c r="A205">
        <v>46</v>
      </c>
      <c r="B205" t="s">
        <v>1379</v>
      </c>
      <c r="C205" s="451">
        <v>4283939.4000000004</v>
      </c>
      <c r="E205" t="s">
        <v>1183</v>
      </c>
      <c r="F205" t="s">
        <v>1183</v>
      </c>
      <c r="G205" t="s">
        <v>1183</v>
      </c>
      <c r="H205" t="s">
        <v>1183</v>
      </c>
    </row>
    <row r="206" spans="1:8">
      <c r="A206">
        <v>46</v>
      </c>
      <c r="B206" t="s">
        <v>1380</v>
      </c>
      <c r="C206" s="451">
        <v>2101819.35</v>
      </c>
      <c r="E206" t="s">
        <v>1183</v>
      </c>
      <c r="F206" t="s">
        <v>1183</v>
      </c>
      <c r="G206" t="s">
        <v>1183</v>
      </c>
      <c r="H206" t="s">
        <v>1183</v>
      </c>
    </row>
    <row r="207" spans="1:8">
      <c r="A207">
        <v>46</v>
      </c>
      <c r="B207" t="s">
        <v>1381</v>
      </c>
      <c r="C207" s="451">
        <v>3337971</v>
      </c>
      <c r="E207" t="s">
        <v>1183</v>
      </c>
      <c r="F207" t="s">
        <v>1183</v>
      </c>
      <c r="G207" t="s">
        <v>1183</v>
      </c>
      <c r="H207" t="s">
        <v>1183</v>
      </c>
    </row>
    <row r="208" spans="1:8">
      <c r="A208">
        <v>46</v>
      </c>
      <c r="B208" t="s">
        <v>1382</v>
      </c>
      <c r="C208" s="451">
        <v>1277994.6000000001</v>
      </c>
      <c r="E208" t="s">
        <v>1183</v>
      </c>
      <c r="F208" t="s">
        <v>1183</v>
      </c>
      <c r="G208" t="s">
        <v>1183</v>
      </c>
      <c r="H208" t="s">
        <v>1183</v>
      </c>
    </row>
    <row r="209" spans="1:8">
      <c r="A209">
        <v>46</v>
      </c>
      <c r="B209" t="s">
        <v>1383</v>
      </c>
      <c r="C209" s="451">
        <v>284668.84999999998</v>
      </c>
      <c r="E209" t="s">
        <v>1183</v>
      </c>
      <c r="F209" t="s">
        <v>1183</v>
      </c>
      <c r="G209" t="s">
        <v>1183</v>
      </c>
      <c r="H209" t="s">
        <v>1183</v>
      </c>
    </row>
    <row r="210" spans="1:8">
      <c r="A210">
        <v>46</v>
      </c>
      <c r="B210" t="s">
        <v>1384</v>
      </c>
      <c r="C210" s="451">
        <v>0</v>
      </c>
      <c r="E210" t="s">
        <v>1183</v>
      </c>
      <c r="F210" t="s">
        <v>1183</v>
      </c>
      <c r="G210" t="s">
        <v>1183</v>
      </c>
      <c r="H210" t="s">
        <v>1183</v>
      </c>
    </row>
    <row r="211" spans="1:8">
      <c r="A211">
        <v>46</v>
      </c>
      <c r="B211" t="s">
        <v>1385</v>
      </c>
      <c r="C211" s="451">
        <v>0</v>
      </c>
      <c r="E211" t="s">
        <v>1183</v>
      </c>
      <c r="F211" t="s">
        <v>1183</v>
      </c>
      <c r="G211" t="s">
        <v>1183</v>
      </c>
      <c r="H211" t="s">
        <v>1183</v>
      </c>
    </row>
    <row r="212" spans="1:8">
      <c r="A212">
        <v>46</v>
      </c>
      <c r="B212" t="s">
        <v>1386</v>
      </c>
      <c r="C212" s="451">
        <v>0</v>
      </c>
      <c r="E212" t="s">
        <v>1183</v>
      </c>
      <c r="F212" t="s">
        <v>1183</v>
      </c>
      <c r="G212" t="s">
        <v>1183</v>
      </c>
      <c r="H212" t="s">
        <v>1183</v>
      </c>
    </row>
    <row r="213" spans="1:8">
      <c r="A213">
        <v>46</v>
      </c>
      <c r="B213" t="s">
        <v>1387</v>
      </c>
      <c r="C213" s="451">
        <v>0</v>
      </c>
      <c r="E213" t="s">
        <v>1183</v>
      </c>
      <c r="F213" t="s">
        <v>1183</v>
      </c>
      <c r="G213" t="s">
        <v>1183</v>
      </c>
      <c r="H213" t="s">
        <v>1183</v>
      </c>
    </row>
    <row r="214" spans="1:8">
      <c r="A214">
        <v>46</v>
      </c>
      <c r="B214" t="s">
        <v>1388</v>
      </c>
      <c r="C214" s="451">
        <v>0</v>
      </c>
      <c r="E214" t="s">
        <v>1183</v>
      </c>
      <c r="F214" t="s">
        <v>1183</v>
      </c>
      <c r="G214" t="s">
        <v>1183</v>
      </c>
      <c r="H214" t="s">
        <v>1183</v>
      </c>
    </row>
    <row r="215" spans="1:8">
      <c r="A215">
        <v>46</v>
      </c>
      <c r="B215" t="s">
        <v>1389</v>
      </c>
      <c r="C215" s="451">
        <v>0</v>
      </c>
      <c r="E215" t="s">
        <v>1183</v>
      </c>
      <c r="F215" t="s">
        <v>1183</v>
      </c>
      <c r="G215" t="s">
        <v>1183</v>
      </c>
      <c r="H215" t="s">
        <v>1183</v>
      </c>
    </row>
    <row r="216" spans="1:8">
      <c r="A216">
        <v>46</v>
      </c>
      <c r="B216" t="s">
        <v>1390</v>
      </c>
      <c r="C216" s="451">
        <v>0</v>
      </c>
      <c r="E216" t="s">
        <v>1183</v>
      </c>
      <c r="F216" t="s">
        <v>1183</v>
      </c>
      <c r="G216" t="s">
        <v>1183</v>
      </c>
      <c r="H216" t="s">
        <v>1183</v>
      </c>
    </row>
    <row r="217" spans="1:8">
      <c r="A217">
        <v>46</v>
      </c>
      <c r="B217" t="s">
        <v>1391</v>
      </c>
      <c r="C217" s="451">
        <v>0</v>
      </c>
      <c r="E217" t="s">
        <v>1183</v>
      </c>
      <c r="F217" t="s">
        <v>1183</v>
      </c>
      <c r="G217" t="s">
        <v>1183</v>
      </c>
      <c r="H217" t="s">
        <v>1183</v>
      </c>
    </row>
    <row r="218" spans="1:8">
      <c r="A218">
        <v>46</v>
      </c>
      <c r="B218" t="s">
        <v>1392</v>
      </c>
      <c r="C218" s="451">
        <v>0</v>
      </c>
      <c r="E218" t="s">
        <v>1183</v>
      </c>
      <c r="F218" t="s">
        <v>1183</v>
      </c>
      <c r="G218" t="s">
        <v>1183</v>
      </c>
      <c r="H218" t="s">
        <v>1183</v>
      </c>
    </row>
    <row r="219" spans="1:8">
      <c r="A219">
        <v>46</v>
      </c>
      <c r="B219" t="s">
        <v>1393</v>
      </c>
      <c r="C219" s="451">
        <v>0</v>
      </c>
      <c r="E219" t="s">
        <v>1183</v>
      </c>
      <c r="F219" t="s">
        <v>1183</v>
      </c>
      <c r="G219" t="s">
        <v>1183</v>
      </c>
      <c r="H219" t="s">
        <v>1183</v>
      </c>
    </row>
    <row r="220" spans="1:8">
      <c r="A220">
        <v>46</v>
      </c>
      <c r="B220" t="s">
        <v>1394</v>
      </c>
      <c r="C220" s="451">
        <v>0</v>
      </c>
      <c r="E220" t="s">
        <v>1183</v>
      </c>
      <c r="F220" t="s">
        <v>1183</v>
      </c>
      <c r="G220" t="s">
        <v>1183</v>
      </c>
      <c r="H220" t="s">
        <v>1183</v>
      </c>
    </row>
    <row r="221" spans="1:8">
      <c r="A221">
        <v>46</v>
      </c>
      <c r="B221" t="s">
        <v>1395</v>
      </c>
      <c r="C221" s="451">
        <v>0</v>
      </c>
      <c r="E221" t="s">
        <v>1183</v>
      </c>
      <c r="F221" t="s">
        <v>1183</v>
      </c>
      <c r="G221" t="s">
        <v>1183</v>
      </c>
      <c r="H221" t="s">
        <v>1183</v>
      </c>
    </row>
    <row r="222" spans="1:8">
      <c r="A222">
        <v>46</v>
      </c>
      <c r="B222" t="s">
        <v>1396</v>
      </c>
      <c r="C222" s="451">
        <v>0</v>
      </c>
      <c r="E222" t="s">
        <v>1183</v>
      </c>
      <c r="F222" t="s">
        <v>1183</v>
      </c>
      <c r="G222" t="s">
        <v>1183</v>
      </c>
      <c r="H222" t="s">
        <v>1183</v>
      </c>
    </row>
    <row r="223" spans="1:8">
      <c r="A223">
        <v>46</v>
      </c>
      <c r="B223" t="s">
        <v>1397</v>
      </c>
      <c r="C223" s="451">
        <v>0</v>
      </c>
      <c r="E223" t="s">
        <v>1183</v>
      </c>
      <c r="F223" t="s">
        <v>1183</v>
      </c>
      <c r="G223" t="s">
        <v>1183</v>
      </c>
      <c r="H223" t="s">
        <v>1183</v>
      </c>
    </row>
    <row r="224" spans="1:8">
      <c r="A224">
        <v>46</v>
      </c>
      <c r="B224" t="s">
        <v>1398</v>
      </c>
      <c r="C224" s="451">
        <v>0</v>
      </c>
      <c r="E224" t="s">
        <v>1183</v>
      </c>
      <c r="F224" t="s">
        <v>1183</v>
      </c>
      <c r="G224" t="s">
        <v>1183</v>
      </c>
      <c r="H224" t="s">
        <v>1183</v>
      </c>
    </row>
    <row r="225" spans="1:8">
      <c r="A225">
        <v>46</v>
      </c>
      <c r="B225" t="s">
        <v>1399</v>
      </c>
      <c r="C225" s="451">
        <v>0</v>
      </c>
      <c r="E225" t="s">
        <v>1183</v>
      </c>
      <c r="F225" t="s">
        <v>1183</v>
      </c>
      <c r="G225" t="s">
        <v>1183</v>
      </c>
      <c r="H225" t="s">
        <v>1183</v>
      </c>
    </row>
    <row r="226" spans="1:8">
      <c r="A226">
        <v>46</v>
      </c>
      <c r="B226" t="s">
        <v>1400</v>
      </c>
      <c r="C226" s="451">
        <v>17529730.710000001</v>
      </c>
      <c r="E226" t="s">
        <v>1183</v>
      </c>
      <c r="F226" t="s">
        <v>1183</v>
      </c>
      <c r="G226" t="s">
        <v>1183</v>
      </c>
      <c r="H226" t="s">
        <v>1183</v>
      </c>
    </row>
    <row r="227" spans="1:8">
      <c r="A227">
        <v>46</v>
      </c>
      <c r="B227" t="s">
        <v>1401</v>
      </c>
      <c r="C227" s="451">
        <v>1157272243.8</v>
      </c>
      <c r="E227" t="s">
        <v>1183</v>
      </c>
      <c r="F227" t="s">
        <v>1183</v>
      </c>
      <c r="G227" t="s">
        <v>1183</v>
      </c>
      <c r="H227" t="s">
        <v>1183</v>
      </c>
    </row>
    <row r="228" spans="1:8">
      <c r="A228">
        <v>46</v>
      </c>
      <c r="B228" t="s">
        <v>1402</v>
      </c>
      <c r="C228" s="451">
        <v>2.6419999999999999E-2</v>
      </c>
      <c r="E228" t="s">
        <v>1183</v>
      </c>
      <c r="F228" t="s">
        <v>1183</v>
      </c>
      <c r="G228" t="s">
        <v>1183</v>
      </c>
      <c r="H228" t="s">
        <v>1183</v>
      </c>
    </row>
    <row r="229" spans="1:8">
      <c r="A229">
        <v>46</v>
      </c>
      <c r="B229" t="s">
        <v>1403</v>
      </c>
      <c r="C229" s="451">
        <v>1.866E-2</v>
      </c>
      <c r="E229" t="s">
        <v>1183</v>
      </c>
      <c r="F229" t="s">
        <v>1183</v>
      </c>
      <c r="G229" t="s">
        <v>1183</v>
      </c>
      <c r="H229" t="s">
        <v>1183</v>
      </c>
    </row>
    <row r="230" spans="1:8">
      <c r="A230">
        <v>46</v>
      </c>
      <c r="B230" t="s">
        <v>1404</v>
      </c>
      <c r="C230" s="451">
        <v>798260.67</v>
      </c>
      <c r="E230" t="s">
        <v>1183</v>
      </c>
      <c r="F230" t="s">
        <v>1183</v>
      </c>
      <c r="G230" t="s">
        <v>1183</v>
      </c>
      <c r="H230" t="s">
        <v>1183</v>
      </c>
    </row>
    <row r="231" spans="1:8">
      <c r="A231">
        <v>46</v>
      </c>
      <c r="B231" t="s">
        <v>1405</v>
      </c>
      <c r="C231" s="451">
        <v>1119743762.7</v>
      </c>
      <c r="E231" t="s">
        <v>1183</v>
      </c>
      <c r="F231" t="s">
        <v>1183</v>
      </c>
      <c r="G231" t="s">
        <v>1183</v>
      </c>
      <c r="H231" t="s">
        <v>1183</v>
      </c>
    </row>
    <row r="232" spans="1:8">
      <c r="B232" t="s">
        <v>1183</v>
      </c>
      <c r="E232" t="s">
        <v>1183</v>
      </c>
      <c r="F232" t="s">
        <v>1183</v>
      </c>
      <c r="G232" t="s">
        <v>1183</v>
      </c>
      <c r="H232" t="s">
        <v>1183</v>
      </c>
    </row>
    <row r="233" spans="1:8">
      <c r="B233" t="s">
        <v>1183</v>
      </c>
      <c r="E233" t="s">
        <v>1183</v>
      </c>
      <c r="F233" t="s">
        <v>1183</v>
      </c>
      <c r="G233" t="s">
        <v>1183</v>
      </c>
      <c r="H233" t="s">
        <v>1183</v>
      </c>
    </row>
    <row r="234" spans="1:8">
      <c r="B234" t="s">
        <v>1183</v>
      </c>
      <c r="E234" t="s">
        <v>1183</v>
      </c>
      <c r="F234" t="s">
        <v>1183</v>
      </c>
      <c r="G234" t="s">
        <v>1183</v>
      </c>
      <c r="H234" t="s">
        <v>1183</v>
      </c>
    </row>
    <row r="235" spans="1:8">
      <c r="B235" t="s">
        <v>1183</v>
      </c>
      <c r="E235" t="s">
        <v>1183</v>
      </c>
      <c r="F235" t="s">
        <v>1183</v>
      </c>
      <c r="G235" t="s">
        <v>1183</v>
      </c>
      <c r="H235" t="s">
        <v>1183</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80" zoomScaleNormal="100" zoomScaleSheetLayoutView="80" workbookViewId="0">
      <selection activeCell="B3" sqref="B3"/>
    </sheetView>
  </sheetViews>
  <sheetFormatPr baseColWidth="10" defaultColWidth="9.1796875" defaultRowHeight="12.5"/>
  <cols>
    <col min="1" max="1" width="0.7265625" style="18" customWidth="1"/>
    <col min="2" max="2" width="41.1796875" style="18" customWidth="1"/>
    <col min="3" max="3" width="18.6328125" style="18" customWidth="1"/>
    <col min="4" max="4" width="23.1796875" style="18" customWidth="1"/>
    <col min="5" max="5" width="18.1796875" style="18" customWidth="1"/>
    <col min="6" max="6" width="23.1796875" style="18" customWidth="1"/>
    <col min="7" max="7" width="17.1796875" style="18" customWidth="1"/>
    <col min="8" max="8" width="10.453125" style="18" customWidth="1"/>
    <col min="9" max="9" width="4.81640625" style="18" customWidth="1"/>
    <col min="10" max="10" width="8.81640625" style="18" bestFit="1" customWidth="1"/>
    <col min="11" max="11" width="1.1796875" style="18" customWidth="1"/>
    <col min="12" max="12" width="11.54296875" style="18" bestFit="1" customWidth="1"/>
    <col min="13"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757"/>
      <c r="D2" s="115" t="s">
        <v>384</v>
      </c>
      <c r="E2" s="116"/>
      <c r="F2" s="117">
        <f>'Cover Sheet'!F2</f>
        <v>45911</v>
      </c>
      <c r="G2" s="116"/>
      <c r="H2" s="116"/>
      <c r="I2" s="116"/>
      <c r="J2" s="118"/>
      <c r="K2" s="119"/>
      <c r="L2" s="142"/>
    </row>
    <row r="3" spans="1:13" ht="18">
      <c r="A3" s="114"/>
      <c r="B3" s="42" t="str">
        <f>'Cover Sheet'!B3</f>
        <v>Monthly Investor Report</v>
      </c>
      <c r="C3" s="757"/>
      <c r="D3" s="121" t="s">
        <v>2</v>
      </c>
      <c r="E3" s="122"/>
      <c r="F3" s="123">
        <f>'Cover Sheet'!F3</f>
        <v>45915</v>
      </c>
      <c r="G3" s="122"/>
      <c r="H3" s="122"/>
      <c r="I3" s="122"/>
      <c r="J3" s="124"/>
      <c r="K3" s="119"/>
      <c r="L3" s="143"/>
    </row>
    <row r="4" spans="1:13" ht="13">
      <c r="A4" s="114"/>
      <c r="B4" s="99"/>
      <c r="C4" s="125"/>
      <c r="D4" s="121" t="s">
        <v>3</v>
      </c>
      <c r="E4" s="122"/>
      <c r="F4" s="126">
        <f>'Cover Sheet'!F4</f>
        <v>16</v>
      </c>
      <c r="G4" s="122"/>
      <c r="H4" s="127"/>
      <c r="I4" s="122"/>
      <c r="J4" s="128"/>
      <c r="K4" s="119"/>
      <c r="L4" s="142"/>
    </row>
    <row r="5" spans="1:13" ht="18">
      <c r="A5" s="114"/>
      <c r="B5" s="129" t="s">
        <v>350</v>
      </c>
      <c r="C5" s="131"/>
      <c r="D5" s="121" t="s">
        <v>1</v>
      </c>
      <c r="E5" s="122"/>
      <c r="F5" s="130">
        <f>'Cover Sheet'!F5</f>
        <v>45915</v>
      </c>
      <c r="G5" s="122"/>
      <c r="H5" s="127"/>
      <c r="I5" s="122"/>
      <c r="J5" s="128"/>
      <c r="K5" s="119"/>
      <c r="L5" s="143"/>
    </row>
    <row r="6" spans="1:13" ht="15" customHeight="1">
      <c r="A6" s="114"/>
      <c r="B6" s="131"/>
      <c r="C6" s="120"/>
      <c r="D6" s="121" t="s">
        <v>51</v>
      </c>
      <c r="E6" s="132" t="s">
        <v>34</v>
      </c>
      <c r="F6" s="123">
        <f>'Cover Sheet'!F6</f>
        <v>45883</v>
      </c>
      <c r="G6" s="132" t="str">
        <f>'Cover Sheet'!G6</f>
        <v>to</v>
      </c>
      <c r="H6" s="123">
        <f>'Cover Sheet'!H6</f>
        <v>45915</v>
      </c>
      <c r="I6" s="132" t="str">
        <f>'Cover Sheet'!I6</f>
        <v>=</v>
      </c>
      <c r="J6" s="133" t="str">
        <f>'Cover Sheet'!J6</f>
        <v>32 days</v>
      </c>
      <c r="K6" s="134"/>
      <c r="M6" s="135"/>
    </row>
    <row r="7" spans="1:13" ht="13">
      <c r="A7" s="114"/>
      <c r="B7" s="758"/>
      <c r="C7" s="758"/>
      <c r="D7" s="136" t="s">
        <v>111</v>
      </c>
      <c r="E7" s="137" t="s">
        <v>34</v>
      </c>
      <c r="F7" s="138" t="str">
        <f>'Cover Sheet'!F7</f>
        <v>01.08.2025</v>
      </c>
      <c r="G7" s="137" t="str">
        <f>'Cover Sheet'!G7</f>
        <v>to</v>
      </c>
      <c r="H7" s="138">
        <f>'Cover Sheet'!H7</f>
        <v>45900</v>
      </c>
      <c r="I7" s="322"/>
      <c r="J7" s="162"/>
      <c r="K7" s="119"/>
    </row>
    <row r="8" spans="1:13" ht="13">
      <c r="A8" s="114"/>
      <c r="D8" s="99"/>
      <c r="F8" s="141"/>
      <c r="G8" s="81"/>
      <c r="H8" s="142"/>
      <c r="K8" s="119"/>
    </row>
    <row r="9" spans="1:13" ht="13">
      <c r="A9" s="114"/>
      <c r="D9" s="99"/>
      <c r="F9" s="141"/>
      <c r="G9" s="81"/>
      <c r="H9" s="142"/>
      <c r="K9" s="119"/>
    </row>
    <row r="10" spans="1:13" ht="13">
      <c r="A10" s="114"/>
      <c r="D10" s="99"/>
      <c r="F10" s="141"/>
      <c r="G10" s="81"/>
      <c r="H10" s="142"/>
      <c r="K10" s="119"/>
    </row>
    <row r="11" spans="1:13" ht="18" customHeight="1">
      <c r="A11" s="114"/>
      <c r="D11" s="99"/>
      <c r="F11" s="141"/>
      <c r="G11" s="81"/>
      <c r="H11" s="142"/>
      <c r="J11" s="81"/>
      <c r="K11" s="119"/>
    </row>
    <row r="12" spans="1:13" ht="18" customHeight="1" thickBot="1">
      <c r="A12" s="114"/>
      <c r="D12" s="99"/>
      <c r="F12" s="141"/>
      <c r="G12" s="81"/>
      <c r="H12" s="142"/>
      <c r="J12" s="81"/>
      <c r="K12" s="119"/>
    </row>
    <row r="13" spans="1:13" ht="18" customHeight="1">
      <c r="A13" s="114"/>
      <c r="B13" s="888" t="s">
        <v>111</v>
      </c>
      <c r="C13" s="888" t="s">
        <v>391</v>
      </c>
      <c r="D13" s="888" t="s">
        <v>37</v>
      </c>
      <c r="E13" s="888" t="s">
        <v>38</v>
      </c>
      <c r="F13" s="888" t="s">
        <v>39</v>
      </c>
      <c r="G13" s="891" t="s">
        <v>352</v>
      </c>
      <c r="H13" s="890"/>
      <c r="I13" s="887"/>
      <c r="J13" s="887"/>
      <c r="K13" s="119"/>
    </row>
    <row r="14" spans="1:13" ht="18" customHeight="1" thickBot="1">
      <c r="A14" s="114"/>
      <c r="B14" s="889"/>
      <c r="C14" s="889"/>
      <c r="D14" s="889"/>
      <c r="E14" s="889"/>
      <c r="F14" s="889"/>
      <c r="G14" s="892"/>
      <c r="H14" s="890"/>
      <c r="I14" s="887"/>
      <c r="J14" s="887"/>
      <c r="K14" s="119"/>
    </row>
    <row r="15" spans="1:13" ht="15" customHeight="1">
      <c r="A15" s="114"/>
      <c r="B15" s="874">
        <v>1</v>
      </c>
      <c r="C15" s="875">
        <f t="shared" ref="C15" si="0">IF($F$4&gt;=B15,VLOOKUP(CONCATENATE("portfolio_",$B15),portfolio_p.p,2,0),"")</f>
        <v>1499999923.28</v>
      </c>
      <c r="D15" s="875">
        <f t="shared" ref="D15" si="1">IF($F$4&gt;=B15,VLOOKUP(CONCATENATE("portfolio_",$B15),portfolio_p.p,3,0),"")</f>
        <v>19374737.319999982</v>
      </c>
      <c r="E15" s="875">
        <f t="shared" ref="E15" si="2">IF($F$4&gt;=B15,VLOOKUP(CONCATENATE("portfolio_",$B15),portfolio_p.p,4,0),"")</f>
        <v>21727736.630000021</v>
      </c>
      <c r="F15" s="875">
        <f t="shared" ref="F15" si="3">IF($F$4&gt;=B15,VLOOKUP(CONCATENATE("portfolio_",$B15),portfolio_p.p,5,0),"")</f>
        <v>41102473.950000003</v>
      </c>
      <c r="G15" s="876">
        <f t="shared" ref="G15" si="4">IF($F$4&gt;=B15,VLOOKUP(CONCATENATE("portfolio_",$B15),portfolio_p.p,6,0),"")</f>
        <v>0.16062113873252071</v>
      </c>
      <c r="H15" s="142"/>
      <c r="J15" s="81"/>
      <c r="K15" s="119"/>
    </row>
    <row r="16" spans="1:13" ht="15" customHeight="1">
      <c r="A16" s="114"/>
      <c r="B16" s="877">
        <v>2</v>
      </c>
      <c r="C16" s="863">
        <f t="shared" ref="C16:C79" si="5">IF($F$4&gt;=B16,VLOOKUP(CONCATENATE("portfolio_",$B16),portfolio_p.p,2,0),"")</f>
        <v>1499999995.4900002</v>
      </c>
      <c r="D16" s="863">
        <f t="shared" ref="D16:D79" si="6">IF($F$4&gt;=B16,VLOOKUP(CONCATENATE("portfolio_",$B16),portfolio_p.p,3,0),"")</f>
        <v>20370190.79000001</v>
      </c>
      <c r="E16" s="863">
        <f t="shared" ref="E16:E79" si="7">IF($F$4&gt;=B16,VLOOKUP(CONCATENATE("portfolio_",$B16),portfolio_p.p,4,0),"")</f>
        <v>23939793.109999996</v>
      </c>
      <c r="F16" s="863">
        <f t="shared" ref="F16:F79" si="8">IF($F$4&gt;=B16,VLOOKUP(CONCATENATE("portfolio_",$B16),portfolio_p.p,5,0),"")</f>
        <v>44309983.900000006</v>
      </c>
      <c r="G16" s="878">
        <f t="shared" ref="G16:G79" si="9">IF($F$4&gt;=B16,VLOOKUP(CONCATENATE("portfolio_",$B16),portfolio_p.p,6,0),"")</f>
        <v>0.17557005465155795</v>
      </c>
      <c r="H16" s="142"/>
      <c r="J16" s="81"/>
      <c r="K16" s="119"/>
    </row>
    <row r="17" spans="1:12" ht="15" customHeight="1">
      <c r="A17" s="114"/>
      <c r="B17" s="877">
        <v>3</v>
      </c>
      <c r="C17" s="863">
        <f t="shared" si="5"/>
        <v>1499999997.3900001</v>
      </c>
      <c r="D17" s="863">
        <f t="shared" si="6"/>
        <v>21044779.159999963</v>
      </c>
      <c r="E17" s="863">
        <f t="shared" si="7"/>
        <v>28712971.900000039</v>
      </c>
      <c r="F17" s="863">
        <f t="shared" si="8"/>
        <v>49757751.060000002</v>
      </c>
      <c r="G17" s="878">
        <f t="shared" si="9"/>
        <v>0.20699894979803357</v>
      </c>
      <c r="H17" s="142"/>
      <c r="J17" s="81"/>
      <c r="K17" s="119"/>
    </row>
    <row r="18" spans="1:12" ht="15" customHeight="1">
      <c r="A18" s="114"/>
      <c r="B18" s="877">
        <v>4</v>
      </c>
      <c r="C18" s="863">
        <f t="shared" si="5"/>
        <v>1499999964.6400001</v>
      </c>
      <c r="D18" s="863">
        <f t="shared" si="6"/>
        <v>19506347.870000023</v>
      </c>
      <c r="E18" s="863">
        <f t="shared" si="7"/>
        <v>26094207.809999976</v>
      </c>
      <c r="F18" s="863">
        <f t="shared" si="8"/>
        <v>45600555.68</v>
      </c>
      <c r="G18" s="878">
        <f t="shared" si="9"/>
        <v>0.18989447174188578</v>
      </c>
      <c r="H18" s="142"/>
      <c r="J18" s="81"/>
      <c r="K18" s="119"/>
    </row>
    <row r="19" spans="1:12" ht="15" customHeight="1">
      <c r="A19" s="114"/>
      <c r="B19" s="877">
        <v>5</v>
      </c>
      <c r="C19" s="863">
        <f t="shared" si="5"/>
        <v>1499999975.8599999</v>
      </c>
      <c r="D19" s="863">
        <f t="shared" si="6"/>
        <v>20360702.900000017</v>
      </c>
      <c r="E19" s="863">
        <f t="shared" si="7"/>
        <v>25308348.709999982</v>
      </c>
      <c r="F19" s="863">
        <f t="shared" si="8"/>
        <v>45669051.609999999</v>
      </c>
      <c r="G19" s="878">
        <f t="shared" si="9"/>
        <v>0.18469604555717556</v>
      </c>
      <c r="H19" s="142"/>
      <c r="J19" s="81"/>
      <c r="K19" s="119"/>
    </row>
    <row r="20" spans="1:12" ht="15" customHeight="1">
      <c r="A20" s="114"/>
      <c r="B20" s="877">
        <v>6</v>
      </c>
      <c r="C20" s="863">
        <f t="shared" si="5"/>
        <v>1499999963.2</v>
      </c>
      <c r="D20" s="863">
        <f t="shared" si="6"/>
        <v>20293673.04999999</v>
      </c>
      <c r="E20" s="863">
        <f t="shared" si="7"/>
        <v>25822303.800000012</v>
      </c>
      <c r="F20" s="863">
        <f t="shared" si="8"/>
        <v>46115976.850000001</v>
      </c>
      <c r="G20" s="878">
        <f t="shared" si="9"/>
        <v>0.18809928597537995</v>
      </c>
      <c r="H20" s="142"/>
      <c r="J20" s="81"/>
      <c r="K20" s="119"/>
    </row>
    <row r="21" spans="1:12" ht="15" customHeight="1">
      <c r="A21" s="114"/>
      <c r="B21" s="877">
        <v>7</v>
      </c>
      <c r="C21" s="863">
        <f t="shared" si="5"/>
        <v>1499999991.78</v>
      </c>
      <c r="D21" s="863">
        <f t="shared" si="6"/>
        <v>20325970.880000006</v>
      </c>
      <c r="E21" s="863">
        <f t="shared" si="7"/>
        <v>19838584.379999992</v>
      </c>
      <c r="F21" s="863">
        <f t="shared" si="8"/>
        <v>40164555.259999998</v>
      </c>
      <c r="G21" s="878">
        <f t="shared" si="9"/>
        <v>0.14765809945993391</v>
      </c>
      <c r="K21" s="119"/>
    </row>
    <row r="22" spans="1:12" ht="15" customHeight="1">
      <c r="A22" s="114"/>
      <c r="B22" s="877">
        <v>8</v>
      </c>
      <c r="C22" s="863">
        <f t="shared" si="5"/>
        <v>1499999977.1099999</v>
      </c>
      <c r="D22" s="863">
        <f t="shared" si="6"/>
        <v>19244445.559999991</v>
      </c>
      <c r="E22" s="863">
        <f t="shared" si="7"/>
        <v>13880555.70000001</v>
      </c>
      <c r="F22" s="863">
        <f t="shared" si="8"/>
        <v>33125001.260000002</v>
      </c>
      <c r="G22" s="878">
        <f t="shared" si="9"/>
        <v>0.10556355130553963</v>
      </c>
      <c r="J22" s="759"/>
      <c r="K22" s="119"/>
      <c r="L22" s="760"/>
    </row>
    <row r="23" spans="1:12" ht="15" customHeight="1">
      <c r="A23" s="114"/>
      <c r="B23" s="877">
        <v>9</v>
      </c>
      <c r="C23" s="863">
        <f t="shared" si="5"/>
        <v>1463993165.4200001</v>
      </c>
      <c r="D23" s="863">
        <f t="shared" si="6"/>
        <v>21610902.74000001</v>
      </c>
      <c r="E23" s="863">
        <f t="shared" si="7"/>
        <v>23414758.059999987</v>
      </c>
      <c r="F23" s="863">
        <f t="shared" si="8"/>
        <v>45025660.799999997</v>
      </c>
      <c r="G23" s="878">
        <f t="shared" si="9"/>
        <v>0.17591080501103262</v>
      </c>
      <c r="J23" s="761"/>
      <c r="K23" s="119"/>
    </row>
    <row r="24" spans="1:12" ht="15" customHeight="1">
      <c r="A24" s="114"/>
      <c r="B24" s="877">
        <v>10</v>
      </c>
      <c r="C24" s="863">
        <f t="shared" si="5"/>
        <v>1415199741.3900001</v>
      </c>
      <c r="D24" s="863">
        <f t="shared" si="6"/>
        <v>19741834.020000007</v>
      </c>
      <c r="E24" s="863">
        <f t="shared" si="7"/>
        <v>19392629.189999994</v>
      </c>
      <c r="F24" s="863">
        <f t="shared" si="8"/>
        <v>39134463.210000001</v>
      </c>
      <c r="G24" s="878">
        <f t="shared" si="9"/>
        <v>0.15259309918473762</v>
      </c>
      <c r="H24" s="762"/>
      <c r="I24" s="762"/>
      <c r="J24" s="763"/>
      <c r="K24" s="119"/>
    </row>
    <row r="25" spans="1:12" ht="15" customHeight="1">
      <c r="A25" s="114"/>
      <c r="B25" s="877">
        <v>11</v>
      </c>
      <c r="C25" s="863">
        <f t="shared" si="5"/>
        <v>1372585564.24</v>
      </c>
      <c r="D25" s="863">
        <f t="shared" si="6"/>
        <v>19963654.280000012</v>
      </c>
      <c r="E25" s="863">
        <f t="shared" si="7"/>
        <v>17459573.789999988</v>
      </c>
      <c r="F25" s="863">
        <f t="shared" si="8"/>
        <v>37423228.07</v>
      </c>
      <c r="G25" s="878">
        <f t="shared" si="9"/>
        <v>0.14240355113180758</v>
      </c>
      <c r="H25" s="50"/>
      <c r="I25" s="50"/>
      <c r="J25" s="753"/>
      <c r="K25" s="119"/>
    </row>
    <row r="26" spans="1:12" ht="15" customHeight="1">
      <c r="A26" s="114"/>
      <c r="B26" s="877">
        <v>12</v>
      </c>
      <c r="C26" s="863">
        <f t="shared" si="5"/>
        <v>1331663596.5</v>
      </c>
      <c r="D26" s="863">
        <f t="shared" si="6"/>
        <v>19623877.259999998</v>
      </c>
      <c r="E26" s="863">
        <f t="shared" si="7"/>
        <v>18772317.310000002</v>
      </c>
      <c r="F26" s="863">
        <f t="shared" si="8"/>
        <v>38396194.57</v>
      </c>
      <c r="G26" s="878">
        <f t="shared" si="9"/>
        <v>0.1566442102190323</v>
      </c>
      <c r="H26" s="50"/>
      <c r="I26" s="50"/>
      <c r="J26" s="755"/>
      <c r="K26" s="119"/>
    </row>
    <row r="27" spans="1:12" ht="15" customHeight="1">
      <c r="A27" s="114"/>
      <c r="B27" s="877">
        <v>13</v>
      </c>
      <c r="C27" s="863">
        <f t="shared" si="5"/>
        <v>1288936809.78</v>
      </c>
      <c r="D27" s="863">
        <f t="shared" si="6"/>
        <v>18759330.370000001</v>
      </c>
      <c r="E27" s="863">
        <f t="shared" si="7"/>
        <v>18069214.739999998</v>
      </c>
      <c r="F27" s="863">
        <f t="shared" si="8"/>
        <v>36828545.109999999</v>
      </c>
      <c r="G27" s="878">
        <f t="shared" si="9"/>
        <v>0.15584119612741465</v>
      </c>
      <c r="H27" s="50"/>
      <c r="I27" s="50"/>
      <c r="J27" s="285"/>
      <c r="K27" s="119"/>
    </row>
    <row r="28" spans="1:12" ht="15" customHeight="1">
      <c r="A28" s="114"/>
      <c r="B28" s="877">
        <v>14</v>
      </c>
      <c r="C28" s="863">
        <f t="shared" si="5"/>
        <v>1247253555.3499999</v>
      </c>
      <c r="D28" s="863">
        <f t="shared" si="6"/>
        <v>17415030.32000003</v>
      </c>
      <c r="E28" s="863">
        <f t="shared" si="7"/>
        <v>16977081.629999973</v>
      </c>
      <c r="F28" s="863">
        <f t="shared" si="8"/>
        <v>34392111.950000003</v>
      </c>
      <c r="G28" s="878">
        <f t="shared" si="9"/>
        <v>0.15164890824229493</v>
      </c>
      <c r="H28" s="50"/>
      <c r="I28" s="50"/>
      <c r="J28" s="753"/>
      <c r="K28" s="119"/>
    </row>
    <row r="29" spans="1:12" ht="15" customHeight="1">
      <c r="A29" s="114"/>
      <c r="B29" s="877">
        <v>15</v>
      </c>
      <c r="C29" s="863">
        <f t="shared" si="5"/>
        <v>1209511439</v>
      </c>
      <c r="D29" s="863">
        <f t="shared" si="6"/>
        <v>17852980.830000017</v>
      </c>
      <c r="E29" s="863">
        <f t="shared" si="7"/>
        <v>19040154.39999998</v>
      </c>
      <c r="F29" s="863">
        <f t="shared" si="8"/>
        <v>36893135.229999997</v>
      </c>
      <c r="G29" s="878">
        <f t="shared" si="9"/>
        <v>0.17337729504948762</v>
      </c>
      <c r="H29" s="50"/>
      <c r="I29" s="50"/>
      <c r="J29" s="753"/>
      <c r="K29" s="119"/>
    </row>
    <row r="30" spans="1:12" ht="15" customHeight="1">
      <c r="A30" s="114"/>
      <c r="B30" s="877">
        <v>16</v>
      </c>
      <c r="C30" s="863">
        <f t="shared" si="5"/>
        <v>1168522209.0599999</v>
      </c>
      <c r="D30" s="863">
        <f t="shared" si="6"/>
        <v>17116624.990000017</v>
      </c>
      <c r="E30" s="863">
        <f t="shared" si="7"/>
        <v>16015763.019999987</v>
      </c>
      <c r="F30" s="863">
        <f t="shared" si="8"/>
        <v>33132388.010000002</v>
      </c>
      <c r="G30" s="878">
        <f t="shared" si="9"/>
        <v>0.1526229363048528</v>
      </c>
      <c r="H30" s="50"/>
      <c r="I30" s="50"/>
      <c r="J30" s="753"/>
      <c r="K30" s="119"/>
    </row>
    <row r="31" spans="1:12" ht="15" customHeight="1">
      <c r="A31" s="114"/>
      <c r="B31" s="877">
        <v>17</v>
      </c>
      <c r="C31" s="863" t="str">
        <f t="shared" si="5"/>
        <v/>
      </c>
      <c r="D31" s="863" t="str">
        <f t="shared" si="6"/>
        <v/>
      </c>
      <c r="E31" s="863" t="str">
        <f t="shared" si="7"/>
        <v/>
      </c>
      <c r="F31" s="863" t="str">
        <f t="shared" si="8"/>
        <v/>
      </c>
      <c r="G31" s="878" t="str">
        <f t="shared" si="9"/>
        <v/>
      </c>
      <c r="H31" s="50"/>
      <c r="I31" s="50"/>
      <c r="J31" s="753"/>
      <c r="K31" s="119"/>
    </row>
    <row r="32" spans="1:12" ht="15" customHeight="1">
      <c r="A32" s="114"/>
      <c r="B32" s="877">
        <v>18</v>
      </c>
      <c r="C32" s="863" t="str">
        <f t="shared" si="5"/>
        <v/>
      </c>
      <c r="D32" s="863" t="str">
        <f t="shared" si="6"/>
        <v/>
      </c>
      <c r="E32" s="863" t="str">
        <f t="shared" si="7"/>
        <v/>
      </c>
      <c r="F32" s="863" t="str">
        <f t="shared" si="8"/>
        <v/>
      </c>
      <c r="G32" s="878" t="str">
        <f t="shared" si="9"/>
        <v/>
      </c>
      <c r="H32" s="50"/>
      <c r="I32" s="50"/>
      <c r="J32" s="753"/>
      <c r="K32" s="119"/>
    </row>
    <row r="33" spans="1:11" ht="15" customHeight="1">
      <c r="A33" s="114"/>
      <c r="B33" s="877">
        <v>19</v>
      </c>
      <c r="C33" s="863" t="str">
        <f t="shared" si="5"/>
        <v/>
      </c>
      <c r="D33" s="863" t="str">
        <f t="shared" si="6"/>
        <v/>
      </c>
      <c r="E33" s="863" t="str">
        <f t="shared" si="7"/>
        <v/>
      </c>
      <c r="F33" s="863" t="str">
        <f t="shared" si="8"/>
        <v/>
      </c>
      <c r="G33" s="878" t="str">
        <f t="shared" si="9"/>
        <v/>
      </c>
      <c r="H33" s="50"/>
      <c r="I33" s="50"/>
      <c r="J33" s="753"/>
      <c r="K33" s="119"/>
    </row>
    <row r="34" spans="1:11" ht="15" customHeight="1">
      <c r="A34" s="114"/>
      <c r="B34" s="877">
        <v>20</v>
      </c>
      <c r="C34" s="863" t="str">
        <f t="shared" si="5"/>
        <v/>
      </c>
      <c r="D34" s="863" t="str">
        <f t="shared" si="6"/>
        <v/>
      </c>
      <c r="E34" s="863" t="str">
        <f t="shared" si="7"/>
        <v/>
      </c>
      <c r="F34" s="863" t="str">
        <f t="shared" si="8"/>
        <v/>
      </c>
      <c r="G34" s="879" t="str">
        <f t="shared" si="9"/>
        <v/>
      </c>
      <c r="H34" s="50"/>
      <c r="I34" s="50"/>
      <c r="J34" s="753"/>
      <c r="K34" s="119"/>
    </row>
    <row r="35" spans="1:11" ht="15" customHeight="1">
      <c r="A35" s="114"/>
      <c r="B35" s="877">
        <v>21</v>
      </c>
      <c r="C35" s="863" t="str">
        <f t="shared" si="5"/>
        <v/>
      </c>
      <c r="D35" s="863" t="str">
        <f t="shared" si="6"/>
        <v/>
      </c>
      <c r="E35" s="863" t="str">
        <f t="shared" si="7"/>
        <v/>
      </c>
      <c r="F35" s="863" t="str">
        <f t="shared" si="8"/>
        <v/>
      </c>
      <c r="G35" s="879" t="str">
        <f t="shared" si="9"/>
        <v/>
      </c>
      <c r="H35" s="50"/>
      <c r="I35" s="50"/>
      <c r="J35" s="753"/>
      <c r="K35" s="119"/>
    </row>
    <row r="36" spans="1:11" ht="15" customHeight="1">
      <c r="A36" s="114"/>
      <c r="B36" s="877">
        <v>22</v>
      </c>
      <c r="C36" s="863" t="str">
        <f t="shared" si="5"/>
        <v/>
      </c>
      <c r="D36" s="863" t="str">
        <f t="shared" si="6"/>
        <v/>
      </c>
      <c r="E36" s="863" t="str">
        <f t="shared" si="7"/>
        <v/>
      </c>
      <c r="F36" s="863" t="str">
        <f t="shared" si="8"/>
        <v/>
      </c>
      <c r="G36" s="879" t="str">
        <f t="shared" si="9"/>
        <v/>
      </c>
      <c r="H36" s="50"/>
      <c r="I36" s="50"/>
      <c r="J36" s="753"/>
      <c r="K36" s="119"/>
    </row>
    <row r="37" spans="1:11" s="32" customFormat="1" ht="15" customHeight="1">
      <c r="A37" s="764"/>
      <c r="B37" s="877">
        <v>23</v>
      </c>
      <c r="C37" s="863" t="str">
        <f t="shared" si="5"/>
        <v/>
      </c>
      <c r="D37" s="863" t="str">
        <f t="shared" si="6"/>
        <v/>
      </c>
      <c r="E37" s="863" t="str">
        <f t="shared" si="7"/>
        <v/>
      </c>
      <c r="F37" s="863" t="str">
        <f t="shared" si="8"/>
        <v/>
      </c>
      <c r="G37" s="879" t="str">
        <f t="shared" si="9"/>
        <v/>
      </c>
      <c r="H37" s="762"/>
      <c r="I37" s="762"/>
      <c r="J37" s="753"/>
      <c r="K37" s="164"/>
    </row>
    <row r="38" spans="1:11" s="32" customFormat="1" ht="15" customHeight="1">
      <c r="A38" s="764"/>
      <c r="B38" s="877">
        <v>24</v>
      </c>
      <c r="C38" s="863" t="str">
        <f t="shared" si="5"/>
        <v/>
      </c>
      <c r="D38" s="863" t="str">
        <f t="shared" si="6"/>
        <v/>
      </c>
      <c r="E38" s="863" t="str">
        <f t="shared" si="7"/>
        <v/>
      </c>
      <c r="F38" s="863" t="str">
        <f t="shared" si="8"/>
        <v/>
      </c>
      <c r="G38" s="879" t="str">
        <f t="shared" si="9"/>
        <v/>
      </c>
      <c r="H38" s="762"/>
      <c r="I38" s="762"/>
      <c r="J38" s="753"/>
      <c r="K38" s="164"/>
    </row>
    <row r="39" spans="1:11" s="32" customFormat="1" ht="15" customHeight="1">
      <c r="A39" s="764"/>
      <c r="B39" s="877">
        <v>25</v>
      </c>
      <c r="C39" s="863" t="str">
        <f t="shared" si="5"/>
        <v/>
      </c>
      <c r="D39" s="863" t="str">
        <f t="shared" si="6"/>
        <v/>
      </c>
      <c r="E39" s="863" t="str">
        <f t="shared" si="7"/>
        <v/>
      </c>
      <c r="F39" s="863" t="str">
        <f t="shared" si="8"/>
        <v/>
      </c>
      <c r="G39" s="879" t="str">
        <f t="shared" si="9"/>
        <v/>
      </c>
      <c r="H39" s="762"/>
      <c r="I39" s="762"/>
      <c r="J39" s="753"/>
      <c r="K39" s="164"/>
    </row>
    <row r="40" spans="1:11" ht="15" customHeight="1">
      <c r="A40" s="114"/>
      <c r="B40" s="877">
        <v>26</v>
      </c>
      <c r="C40" s="863" t="str">
        <f t="shared" si="5"/>
        <v/>
      </c>
      <c r="D40" s="863" t="str">
        <f t="shared" si="6"/>
        <v/>
      </c>
      <c r="E40" s="863" t="str">
        <f t="shared" si="7"/>
        <v/>
      </c>
      <c r="F40" s="863" t="str">
        <f t="shared" si="8"/>
        <v/>
      </c>
      <c r="G40" s="879" t="str">
        <f t="shared" si="9"/>
        <v/>
      </c>
      <c r="H40" s="50"/>
      <c r="I40" s="50"/>
      <c r="J40" s="47"/>
      <c r="K40" s="119"/>
    </row>
    <row r="41" spans="1:11" ht="15" customHeight="1">
      <c r="A41" s="114"/>
      <c r="B41" s="877">
        <v>27</v>
      </c>
      <c r="C41" s="863" t="str">
        <f t="shared" si="5"/>
        <v/>
      </c>
      <c r="D41" s="863" t="str">
        <f t="shared" si="6"/>
        <v/>
      </c>
      <c r="E41" s="863" t="str">
        <f t="shared" si="7"/>
        <v/>
      </c>
      <c r="F41" s="863" t="str">
        <f t="shared" si="8"/>
        <v/>
      </c>
      <c r="G41" s="879" t="str">
        <f t="shared" si="9"/>
        <v/>
      </c>
      <c r="H41" s="50"/>
      <c r="I41" s="50"/>
      <c r="J41" s="755"/>
      <c r="K41" s="119"/>
    </row>
    <row r="42" spans="1:11" ht="15" customHeight="1">
      <c r="A42" s="114"/>
      <c r="B42" s="877">
        <v>28</v>
      </c>
      <c r="C42" s="863" t="str">
        <f t="shared" si="5"/>
        <v/>
      </c>
      <c r="D42" s="863" t="str">
        <f t="shared" si="6"/>
        <v/>
      </c>
      <c r="E42" s="863" t="str">
        <f t="shared" si="7"/>
        <v/>
      </c>
      <c r="F42" s="863" t="str">
        <f t="shared" si="8"/>
        <v/>
      </c>
      <c r="G42" s="879" t="str">
        <f t="shared" si="9"/>
        <v/>
      </c>
      <c r="J42" s="99"/>
      <c r="K42" s="119"/>
    </row>
    <row r="43" spans="1:11" ht="15" customHeight="1">
      <c r="A43" s="114"/>
      <c r="B43" s="877">
        <v>29</v>
      </c>
      <c r="C43" s="863" t="str">
        <f t="shared" si="5"/>
        <v/>
      </c>
      <c r="D43" s="863" t="str">
        <f t="shared" si="6"/>
        <v/>
      </c>
      <c r="E43" s="863" t="str">
        <f t="shared" si="7"/>
        <v/>
      </c>
      <c r="F43" s="863" t="str">
        <f t="shared" si="8"/>
        <v/>
      </c>
      <c r="G43" s="879" t="str">
        <f t="shared" si="9"/>
        <v/>
      </c>
      <c r="J43" s="99"/>
      <c r="K43" s="119"/>
    </row>
    <row r="44" spans="1:11" ht="15" customHeight="1">
      <c r="A44" s="114"/>
      <c r="B44" s="877">
        <v>30</v>
      </c>
      <c r="C44" s="863" t="str">
        <f t="shared" si="5"/>
        <v/>
      </c>
      <c r="D44" s="863" t="str">
        <f t="shared" si="6"/>
        <v/>
      </c>
      <c r="E44" s="863" t="str">
        <f t="shared" si="7"/>
        <v/>
      </c>
      <c r="F44" s="863" t="str">
        <f t="shared" si="8"/>
        <v/>
      </c>
      <c r="G44" s="879" t="str">
        <f t="shared" si="9"/>
        <v/>
      </c>
      <c r="J44" s="99"/>
      <c r="K44" s="119"/>
    </row>
    <row r="45" spans="1:11" ht="15" customHeight="1">
      <c r="A45" s="114"/>
      <c r="B45" s="877">
        <v>31</v>
      </c>
      <c r="C45" s="863" t="str">
        <f t="shared" si="5"/>
        <v/>
      </c>
      <c r="D45" s="863" t="str">
        <f t="shared" si="6"/>
        <v/>
      </c>
      <c r="E45" s="863" t="str">
        <f t="shared" si="7"/>
        <v/>
      </c>
      <c r="F45" s="863" t="str">
        <f t="shared" si="8"/>
        <v/>
      </c>
      <c r="G45" s="879" t="str">
        <f t="shared" si="9"/>
        <v/>
      </c>
      <c r="J45" s="99"/>
      <c r="K45" s="119"/>
    </row>
    <row r="46" spans="1:11" ht="15" customHeight="1">
      <c r="A46" s="114"/>
      <c r="B46" s="877">
        <v>32</v>
      </c>
      <c r="C46" s="863" t="str">
        <f t="shared" si="5"/>
        <v/>
      </c>
      <c r="D46" s="863" t="str">
        <f t="shared" si="6"/>
        <v/>
      </c>
      <c r="E46" s="863" t="str">
        <f t="shared" si="7"/>
        <v/>
      </c>
      <c r="F46" s="863" t="str">
        <f t="shared" si="8"/>
        <v/>
      </c>
      <c r="G46" s="879" t="str">
        <f t="shared" si="9"/>
        <v/>
      </c>
      <c r="J46" s="99"/>
      <c r="K46" s="119"/>
    </row>
    <row r="47" spans="1:11" ht="15" customHeight="1">
      <c r="A47" s="114"/>
      <c r="B47" s="877">
        <v>33</v>
      </c>
      <c r="C47" s="863" t="str">
        <f t="shared" si="5"/>
        <v/>
      </c>
      <c r="D47" s="863" t="str">
        <f t="shared" si="6"/>
        <v/>
      </c>
      <c r="E47" s="863" t="str">
        <f t="shared" si="7"/>
        <v/>
      </c>
      <c r="F47" s="863" t="str">
        <f t="shared" si="8"/>
        <v/>
      </c>
      <c r="G47" s="879" t="str">
        <f t="shared" si="9"/>
        <v/>
      </c>
      <c r="J47" s="99"/>
      <c r="K47" s="119"/>
    </row>
    <row r="48" spans="1:11" ht="15" customHeight="1">
      <c r="A48" s="114"/>
      <c r="B48" s="877">
        <v>34</v>
      </c>
      <c r="C48" s="863" t="str">
        <f t="shared" si="5"/>
        <v/>
      </c>
      <c r="D48" s="863" t="str">
        <f t="shared" si="6"/>
        <v/>
      </c>
      <c r="E48" s="863" t="str">
        <f t="shared" si="7"/>
        <v/>
      </c>
      <c r="F48" s="863" t="str">
        <f t="shared" si="8"/>
        <v/>
      </c>
      <c r="G48" s="879" t="str">
        <f t="shared" si="9"/>
        <v/>
      </c>
      <c r="J48" s="99"/>
      <c r="K48" s="119"/>
    </row>
    <row r="49" spans="1:11" ht="15" customHeight="1">
      <c r="A49" s="114"/>
      <c r="B49" s="877">
        <v>35</v>
      </c>
      <c r="C49" s="863" t="str">
        <f t="shared" si="5"/>
        <v/>
      </c>
      <c r="D49" s="863" t="str">
        <f t="shared" si="6"/>
        <v/>
      </c>
      <c r="E49" s="863" t="str">
        <f t="shared" si="7"/>
        <v/>
      </c>
      <c r="F49" s="863" t="str">
        <f t="shared" si="8"/>
        <v/>
      </c>
      <c r="G49" s="879" t="str">
        <f t="shared" si="9"/>
        <v/>
      </c>
      <c r="J49" s="99"/>
      <c r="K49" s="119"/>
    </row>
    <row r="50" spans="1:11" ht="15" customHeight="1">
      <c r="A50" s="114"/>
      <c r="B50" s="877">
        <v>36</v>
      </c>
      <c r="C50" s="863" t="str">
        <f t="shared" si="5"/>
        <v/>
      </c>
      <c r="D50" s="863" t="str">
        <f t="shared" si="6"/>
        <v/>
      </c>
      <c r="E50" s="863" t="str">
        <f t="shared" si="7"/>
        <v/>
      </c>
      <c r="F50" s="863" t="str">
        <f t="shared" si="8"/>
        <v/>
      </c>
      <c r="G50" s="879" t="str">
        <f t="shared" si="9"/>
        <v/>
      </c>
      <c r="J50" s="99"/>
      <c r="K50" s="119"/>
    </row>
    <row r="51" spans="1:11" ht="15" customHeight="1">
      <c r="A51" s="114"/>
      <c r="B51" s="877">
        <v>37</v>
      </c>
      <c r="C51" s="863" t="str">
        <f t="shared" si="5"/>
        <v/>
      </c>
      <c r="D51" s="863" t="str">
        <f t="shared" si="6"/>
        <v/>
      </c>
      <c r="E51" s="863" t="str">
        <f t="shared" si="7"/>
        <v/>
      </c>
      <c r="F51" s="863" t="str">
        <f t="shared" si="8"/>
        <v/>
      </c>
      <c r="G51" s="879" t="str">
        <f t="shared" si="9"/>
        <v/>
      </c>
      <c r="J51" s="99"/>
      <c r="K51" s="119"/>
    </row>
    <row r="52" spans="1:11" ht="15" customHeight="1">
      <c r="A52" s="114"/>
      <c r="B52" s="877">
        <v>38</v>
      </c>
      <c r="C52" s="863" t="str">
        <f t="shared" si="5"/>
        <v/>
      </c>
      <c r="D52" s="863" t="str">
        <f t="shared" si="6"/>
        <v/>
      </c>
      <c r="E52" s="863" t="str">
        <f t="shared" si="7"/>
        <v/>
      </c>
      <c r="F52" s="863" t="str">
        <f t="shared" si="8"/>
        <v/>
      </c>
      <c r="G52" s="879" t="str">
        <f t="shared" si="9"/>
        <v/>
      </c>
      <c r="J52" s="99"/>
      <c r="K52" s="119"/>
    </row>
    <row r="53" spans="1:11" ht="15" customHeight="1">
      <c r="A53" s="114"/>
      <c r="B53" s="877">
        <v>39</v>
      </c>
      <c r="C53" s="863" t="str">
        <f t="shared" si="5"/>
        <v/>
      </c>
      <c r="D53" s="863" t="str">
        <f t="shared" si="6"/>
        <v/>
      </c>
      <c r="E53" s="863" t="str">
        <f t="shared" si="7"/>
        <v/>
      </c>
      <c r="F53" s="863" t="str">
        <f t="shared" si="8"/>
        <v/>
      </c>
      <c r="G53" s="879" t="str">
        <f t="shared" si="9"/>
        <v/>
      </c>
      <c r="J53" s="99"/>
      <c r="K53" s="119"/>
    </row>
    <row r="54" spans="1:11" ht="15" customHeight="1">
      <c r="A54" s="114"/>
      <c r="B54" s="877">
        <v>40</v>
      </c>
      <c r="C54" s="863" t="str">
        <f t="shared" si="5"/>
        <v/>
      </c>
      <c r="D54" s="863" t="str">
        <f t="shared" si="6"/>
        <v/>
      </c>
      <c r="E54" s="863" t="str">
        <f t="shared" si="7"/>
        <v/>
      </c>
      <c r="F54" s="863" t="str">
        <f t="shared" si="8"/>
        <v/>
      </c>
      <c r="G54" s="879" t="str">
        <f t="shared" si="9"/>
        <v/>
      </c>
      <c r="J54" s="99"/>
      <c r="K54" s="119"/>
    </row>
    <row r="55" spans="1:11" ht="15" customHeight="1">
      <c r="A55" s="114"/>
      <c r="B55" s="877">
        <v>41</v>
      </c>
      <c r="C55" s="863" t="str">
        <f t="shared" si="5"/>
        <v/>
      </c>
      <c r="D55" s="863" t="str">
        <f t="shared" si="6"/>
        <v/>
      </c>
      <c r="E55" s="863" t="str">
        <f t="shared" si="7"/>
        <v/>
      </c>
      <c r="F55" s="863" t="str">
        <f t="shared" si="8"/>
        <v/>
      </c>
      <c r="G55" s="879" t="str">
        <f t="shared" si="9"/>
        <v/>
      </c>
      <c r="J55" s="99"/>
      <c r="K55" s="119"/>
    </row>
    <row r="56" spans="1:11" ht="15" customHeight="1">
      <c r="A56" s="114"/>
      <c r="B56" s="877">
        <v>42</v>
      </c>
      <c r="C56" s="863" t="str">
        <f t="shared" si="5"/>
        <v/>
      </c>
      <c r="D56" s="863" t="str">
        <f t="shared" si="6"/>
        <v/>
      </c>
      <c r="E56" s="863" t="str">
        <f t="shared" si="7"/>
        <v/>
      </c>
      <c r="F56" s="863" t="str">
        <f t="shared" si="8"/>
        <v/>
      </c>
      <c r="G56" s="879" t="str">
        <f t="shared" si="9"/>
        <v/>
      </c>
      <c r="J56" s="99"/>
      <c r="K56" s="119"/>
    </row>
    <row r="57" spans="1:11" ht="15" customHeight="1">
      <c r="A57" s="114"/>
      <c r="B57" s="877">
        <v>43</v>
      </c>
      <c r="C57" s="863" t="str">
        <f t="shared" si="5"/>
        <v/>
      </c>
      <c r="D57" s="863" t="str">
        <f t="shared" si="6"/>
        <v/>
      </c>
      <c r="E57" s="863" t="str">
        <f t="shared" si="7"/>
        <v/>
      </c>
      <c r="F57" s="863" t="str">
        <f t="shared" si="8"/>
        <v/>
      </c>
      <c r="G57" s="879" t="str">
        <f t="shared" si="9"/>
        <v/>
      </c>
      <c r="J57" s="99"/>
      <c r="K57" s="119"/>
    </row>
    <row r="58" spans="1:11" ht="15" customHeight="1">
      <c r="A58" s="114"/>
      <c r="B58" s="877">
        <v>44</v>
      </c>
      <c r="C58" s="863" t="str">
        <f t="shared" si="5"/>
        <v/>
      </c>
      <c r="D58" s="863" t="str">
        <f t="shared" si="6"/>
        <v/>
      </c>
      <c r="E58" s="863" t="str">
        <f t="shared" si="7"/>
        <v/>
      </c>
      <c r="F58" s="863" t="str">
        <f t="shared" si="8"/>
        <v/>
      </c>
      <c r="G58" s="879" t="str">
        <f t="shared" si="9"/>
        <v/>
      </c>
      <c r="J58" s="99"/>
      <c r="K58" s="119"/>
    </row>
    <row r="59" spans="1:11" ht="15" customHeight="1">
      <c r="A59" s="114"/>
      <c r="B59" s="877">
        <v>45</v>
      </c>
      <c r="C59" s="863" t="str">
        <f t="shared" si="5"/>
        <v/>
      </c>
      <c r="D59" s="863" t="str">
        <f t="shared" si="6"/>
        <v/>
      </c>
      <c r="E59" s="863" t="str">
        <f t="shared" si="7"/>
        <v/>
      </c>
      <c r="F59" s="863" t="str">
        <f t="shared" si="8"/>
        <v/>
      </c>
      <c r="G59" s="879" t="str">
        <f t="shared" si="9"/>
        <v/>
      </c>
      <c r="J59" s="99"/>
      <c r="K59" s="119"/>
    </row>
    <row r="60" spans="1:11" ht="15" customHeight="1">
      <c r="A60" s="114"/>
      <c r="B60" s="877">
        <v>46</v>
      </c>
      <c r="C60" s="863" t="str">
        <f t="shared" si="5"/>
        <v/>
      </c>
      <c r="D60" s="863" t="str">
        <f t="shared" si="6"/>
        <v/>
      </c>
      <c r="E60" s="863" t="str">
        <f t="shared" si="7"/>
        <v/>
      </c>
      <c r="F60" s="863" t="str">
        <f t="shared" si="8"/>
        <v/>
      </c>
      <c r="G60" s="879" t="str">
        <f t="shared" si="9"/>
        <v/>
      </c>
      <c r="K60" s="119"/>
    </row>
    <row r="61" spans="1:11" ht="15" customHeight="1">
      <c r="A61" s="114"/>
      <c r="B61" s="877">
        <v>47</v>
      </c>
      <c r="C61" s="863" t="str">
        <f t="shared" si="5"/>
        <v/>
      </c>
      <c r="D61" s="863" t="str">
        <f t="shared" si="6"/>
        <v/>
      </c>
      <c r="E61" s="863" t="str">
        <f t="shared" si="7"/>
        <v/>
      </c>
      <c r="F61" s="863" t="str">
        <f t="shared" si="8"/>
        <v/>
      </c>
      <c r="G61" s="879" t="str">
        <f t="shared" si="9"/>
        <v/>
      </c>
      <c r="K61" s="119"/>
    </row>
    <row r="62" spans="1:11" ht="15" customHeight="1">
      <c r="A62" s="114"/>
      <c r="B62" s="877">
        <v>48</v>
      </c>
      <c r="C62" s="863" t="str">
        <f t="shared" si="5"/>
        <v/>
      </c>
      <c r="D62" s="863" t="str">
        <f t="shared" si="6"/>
        <v/>
      </c>
      <c r="E62" s="863" t="str">
        <f t="shared" si="7"/>
        <v/>
      </c>
      <c r="F62" s="863" t="str">
        <f t="shared" si="8"/>
        <v/>
      </c>
      <c r="G62" s="879" t="str">
        <f t="shared" si="9"/>
        <v/>
      </c>
      <c r="K62" s="119"/>
    </row>
    <row r="63" spans="1:11" ht="15" customHeight="1">
      <c r="A63" s="114"/>
      <c r="B63" s="877">
        <v>49</v>
      </c>
      <c r="C63" s="863" t="str">
        <f t="shared" si="5"/>
        <v/>
      </c>
      <c r="D63" s="863" t="str">
        <f t="shared" si="6"/>
        <v/>
      </c>
      <c r="E63" s="863" t="str">
        <f t="shared" si="7"/>
        <v/>
      </c>
      <c r="F63" s="863" t="str">
        <f t="shared" si="8"/>
        <v/>
      </c>
      <c r="G63" s="879" t="str">
        <f t="shared" si="9"/>
        <v/>
      </c>
      <c r="K63" s="119"/>
    </row>
    <row r="64" spans="1:11" ht="15" customHeight="1">
      <c r="A64" s="114"/>
      <c r="B64" s="877">
        <v>50</v>
      </c>
      <c r="C64" s="863" t="str">
        <f t="shared" si="5"/>
        <v/>
      </c>
      <c r="D64" s="863" t="str">
        <f t="shared" si="6"/>
        <v/>
      </c>
      <c r="E64" s="863" t="str">
        <f t="shared" si="7"/>
        <v/>
      </c>
      <c r="F64" s="863" t="str">
        <f t="shared" si="8"/>
        <v/>
      </c>
      <c r="G64" s="879" t="str">
        <f t="shared" si="9"/>
        <v/>
      </c>
      <c r="K64" s="119"/>
    </row>
    <row r="65" spans="1:11" ht="15" customHeight="1">
      <c r="A65" s="114"/>
      <c r="B65" s="877">
        <v>51</v>
      </c>
      <c r="C65" s="863" t="str">
        <f t="shared" si="5"/>
        <v/>
      </c>
      <c r="D65" s="863" t="str">
        <f t="shared" si="6"/>
        <v/>
      </c>
      <c r="E65" s="863" t="str">
        <f t="shared" si="7"/>
        <v/>
      </c>
      <c r="F65" s="863" t="str">
        <f t="shared" si="8"/>
        <v/>
      </c>
      <c r="G65" s="879" t="str">
        <f t="shared" si="9"/>
        <v/>
      </c>
      <c r="K65" s="119"/>
    </row>
    <row r="66" spans="1:11" ht="15" customHeight="1">
      <c r="A66" s="114"/>
      <c r="B66" s="877">
        <v>52</v>
      </c>
      <c r="C66" s="863" t="str">
        <f t="shared" si="5"/>
        <v/>
      </c>
      <c r="D66" s="863" t="str">
        <f t="shared" si="6"/>
        <v/>
      </c>
      <c r="E66" s="863" t="str">
        <f t="shared" si="7"/>
        <v/>
      </c>
      <c r="F66" s="863" t="str">
        <f t="shared" si="8"/>
        <v/>
      </c>
      <c r="G66" s="879" t="str">
        <f t="shared" si="9"/>
        <v/>
      </c>
      <c r="K66" s="119"/>
    </row>
    <row r="67" spans="1:11" ht="15" customHeight="1">
      <c r="A67" s="114"/>
      <c r="B67" s="877">
        <v>53</v>
      </c>
      <c r="C67" s="863" t="str">
        <f t="shared" si="5"/>
        <v/>
      </c>
      <c r="D67" s="863" t="str">
        <f t="shared" si="6"/>
        <v/>
      </c>
      <c r="E67" s="863" t="str">
        <f t="shared" si="7"/>
        <v/>
      </c>
      <c r="F67" s="863" t="str">
        <f t="shared" si="8"/>
        <v/>
      </c>
      <c r="G67" s="879" t="str">
        <f t="shared" si="9"/>
        <v/>
      </c>
      <c r="K67" s="119"/>
    </row>
    <row r="68" spans="1:11" ht="15" customHeight="1">
      <c r="A68" s="114"/>
      <c r="B68" s="877">
        <v>54</v>
      </c>
      <c r="C68" s="863" t="str">
        <f t="shared" si="5"/>
        <v/>
      </c>
      <c r="D68" s="863" t="str">
        <f t="shared" si="6"/>
        <v/>
      </c>
      <c r="E68" s="863" t="str">
        <f t="shared" si="7"/>
        <v/>
      </c>
      <c r="F68" s="863" t="str">
        <f t="shared" si="8"/>
        <v/>
      </c>
      <c r="G68" s="879" t="str">
        <f t="shared" si="9"/>
        <v/>
      </c>
      <c r="K68" s="119"/>
    </row>
    <row r="69" spans="1:11" ht="15" customHeight="1">
      <c r="A69" s="114"/>
      <c r="B69" s="877">
        <v>55</v>
      </c>
      <c r="C69" s="863" t="str">
        <f t="shared" si="5"/>
        <v/>
      </c>
      <c r="D69" s="863" t="str">
        <f t="shared" si="6"/>
        <v/>
      </c>
      <c r="E69" s="863" t="str">
        <f t="shared" si="7"/>
        <v/>
      </c>
      <c r="F69" s="863" t="str">
        <f t="shared" si="8"/>
        <v/>
      </c>
      <c r="G69" s="879" t="str">
        <f t="shared" si="9"/>
        <v/>
      </c>
      <c r="K69" s="119"/>
    </row>
    <row r="70" spans="1:11" ht="15" customHeight="1">
      <c r="A70" s="114"/>
      <c r="B70" s="877">
        <v>56</v>
      </c>
      <c r="C70" s="863" t="str">
        <f t="shared" si="5"/>
        <v/>
      </c>
      <c r="D70" s="863" t="str">
        <f t="shared" si="6"/>
        <v/>
      </c>
      <c r="E70" s="863" t="str">
        <f t="shared" si="7"/>
        <v/>
      </c>
      <c r="F70" s="863" t="str">
        <f t="shared" si="8"/>
        <v/>
      </c>
      <c r="G70" s="879" t="str">
        <f t="shared" si="9"/>
        <v/>
      </c>
      <c r="K70" s="119"/>
    </row>
    <row r="71" spans="1:11" ht="15" customHeight="1">
      <c r="A71" s="114"/>
      <c r="B71" s="877">
        <v>57</v>
      </c>
      <c r="C71" s="863" t="str">
        <f t="shared" si="5"/>
        <v/>
      </c>
      <c r="D71" s="863" t="str">
        <f t="shared" si="6"/>
        <v/>
      </c>
      <c r="E71" s="863" t="str">
        <f t="shared" si="7"/>
        <v/>
      </c>
      <c r="F71" s="863" t="str">
        <f t="shared" si="8"/>
        <v/>
      </c>
      <c r="G71" s="879" t="str">
        <f t="shared" si="9"/>
        <v/>
      </c>
      <c r="K71" s="119"/>
    </row>
    <row r="72" spans="1:11" ht="15" customHeight="1">
      <c r="A72" s="114"/>
      <c r="B72" s="877">
        <v>58</v>
      </c>
      <c r="C72" s="863" t="str">
        <f t="shared" si="5"/>
        <v/>
      </c>
      <c r="D72" s="863" t="str">
        <f t="shared" si="6"/>
        <v/>
      </c>
      <c r="E72" s="863" t="str">
        <f t="shared" si="7"/>
        <v/>
      </c>
      <c r="F72" s="863" t="str">
        <f t="shared" si="8"/>
        <v/>
      </c>
      <c r="G72" s="879" t="str">
        <f t="shared" si="9"/>
        <v/>
      </c>
      <c r="K72" s="119"/>
    </row>
    <row r="73" spans="1:11" ht="15" customHeight="1">
      <c r="A73" s="114"/>
      <c r="B73" s="877">
        <v>59</v>
      </c>
      <c r="C73" s="863" t="str">
        <f t="shared" si="5"/>
        <v/>
      </c>
      <c r="D73" s="863" t="str">
        <f t="shared" si="6"/>
        <v/>
      </c>
      <c r="E73" s="863" t="str">
        <f t="shared" si="7"/>
        <v/>
      </c>
      <c r="F73" s="863" t="str">
        <f t="shared" si="8"/>
        <v/>
      </c>
      <c r="G73" s="879" t="str">
        <f t="shared" si="9"/>
        <v/>
      </c>
      <c r="K73" s="119"/>
    </row>
    <row r="74" spans="1:11" ht="15" customHeight="1">
      <c r="A74" s="114"/>
      <c r="B74" s="877">
        <v>60</v>
      </c>
      <c r="C74" s="863" t="str">
        <f t="shared" si="5"/>
        <v/>
      </c>
      <c r="D74" s="863" t="str">
        <f t="shared" si="6"/>
        <v/>
      </c>
      <c r="E74" s="863" t="str">
        <f t="shared" si="7"/>
        <v/>
      </c>
      <c r="F74" s="863" t="str">
        <f t="shared" si="8"/>
        <v/>
      </c>
      <c r="G74" s="879" t="str">
        <f t="shared" si="9"/>
        <v/>
      </c>
      <c r="K74" s="119"/>
    </row>
    <row r="75" spans="1:11" ht="15" customHeight="1">
      <c r="A75" s="114"/>
      <c r="B75" s="877">
        <v>61</v>
      </c>
      <c r="C75" s="863" t="str">
        <f t="shared" si="5"/>
        <v/>
      </c>
      <c r="D75" s="863" t="str">
        <f t="shared" si="6"/>
        <v/>
      </c>
      <c r="E75" s="863" t="str">
        <f t="shared" si="7"/>
        <v/>
      </c>
      <c r="F75" s="863" t="str">
        <f t="shared" si="8"/>
        <v/>
      </c>
      <c r="G75" s="879" t="str">
        <f t="shared" si="9"/>
        <v/>
      </c>
      <c r="K75" s="119"/>
    </row>
    <row r="76" spans="1:11" ht="15" customHeight="1">
      <c r="A76" s="114"/>
      <c r="B76" s="877">
        <v>62</v>
      </c>
      <c r="C76" s="863" t="str">
        <f t="shared" si="5"/>
        <v/>
      </c>
      <c r="D76" s="863" t="str">
        <f t="shared" si="6"/>
        <v/>
      </c>
      <c r="E76" s="863" t="str">
        <f t="shared" si="7"/>
        <v/>
      </c>
      <c r="F76" s="863" t="str">
        <f t="shared" si="8"/>
        <v/>
      </c>
      <c r="G76" s="879" t="str">
        <f t="shared" si="9"/>
        <v/>
      </c>
      <c r="K76" s="119"/>
    </row>
    <row r="77" spans="1:11" ht="15" customHeight="1">
      <c r="A77" s="114"/>
      <c r="B77" s="877">
        <v>63</v>
      </c>
      <c r="C77" s="863" t="str">
        <f t="shared" si="5"/>
        <v/>
      </c>
      <c r="D77" s="863" t="str">
        <f t="shared" si="6"/>
        <v/>
      </c>
      <c r="E77" s="863" t="str">
        <f t="shared" si="7"/>
        <v/>
      </c>
      <c r="F77" s="863" t="str">
        <f t="shared" si="8"/>
        <v/>
      </c>
      <c r="G77" s="879" t="str">
        <f t="shared" si="9"/>
        <v/>
      </c>
      <c r="K77" s="119"/>
    </row>
    <row r="78" spans="1:11" ht="15" customHeight="1">
      <c r="A78" s="114"/>
      <c r="B78" s="877">
        <v>64</v>
      </c>
      <c r="C78" s="863" t="str">
        <f t="shared" si="5"/>
        <v/>
      </c>
      <c r="D78" s="863" t="str">
        <f t="shared" si="6"/>
        <v/>
      </c>
      <c r="E78" s="863" t="str">
        <f t="shared" si="7"/>
        <v/>
      </c>
      <c r="F78" s="863" t="str">
        <f t="shared" si="8"/>
        <v/>
      </c>
      <c r="G78" s="879" t="str">
        <f t="shared" si="9"/>
        <v/>
      </c>
      <c r="K78" s="119"/>
    </row>
    <row r="79" spans="1:11" ht="15" customHeight="1">
      <c r="A79" s="114"/>
      <c r="B79" s="877">
        <v>65</v>
      </c>
      <c r="C79" s="863" t="str">
        <f t="shared" si="5"/>
        <v/>
      </c>
      <c r="D79" s="863" t="str">
        <f t="shared" si="6"/>
        <v/>
      </c>
      <c r="E79" s="863" t="str">
        <f t="shared" si="7"/>
        <v/>
      </c>
      <c r="F79" s="863" t="str">
        <f t="shared" si="8"/>
        <v/>
      </c>
      <c r="G79" s="879" t="str">
        <f t="shared" si="9"/>
        <v/>
      </c>
      <c r="K79" s="119"/>
    </row>
    <row r="80" spans="1:11" ht="15" customHeight="1">
      <c r="A80" s="114"/>
      <c r="B80" s="877">
        <v>66</v>
      </c>
      <c r="C80" s="863" t="str">
        <f t="shared" ref="C80:C94" si="10">IF($F$4&gt;=B80,VLOOKUP(CONCATENATE("portfolio_",$B80),portfolio_p.p,2,0),"")</f>
        <v/>
      </c>
      <c r="D80" s="863" t="str">
        <f t="shared" ref="D80:D94" si="11">IF($F$4&gt;=B80,VLOOKUP(CONCATENATE("portfolio_",$B80),portfolio_p.p,3,0),"")</f>
        <v/>
      </c>
      <c r="E80" s="863" t="str">
        <f t="shared" ref="E80:E94" si="12">IF($F$4&gt;=B80,VLOOKUP(CONCATENATE("portfolio_",$B80),portfolio_p.p,4,0),"")</f>
        <v/>
      </c>
      <c r="F80" s="863" t="str">
        <f t="shared" ref="F80:F94" si="13">IF($F$4&gt;=B80,VLOOKUP(CONCATENATE("portfolio_",$B80),portfolio_p.p,5,0),"")</f>
        <v/>
      </c>
      <c r="G80" s="879" t="str">
        <f t="shared" ref="G80:G94" si="14">IF($F$4&gt;=B80,VLOOKUP(CONCATENATE("portfolio_",$B80),portfolio_p.p,6,0),"")</f>
        <v/>
      </c>
      <c r="K80" s="119"/>
    </row>
    <row r="81" spans="1:11" ht="15" customHeight="1">
      <c r="A81" s="114"/>
      <c r="B81" s="877">
        <v>67</v>
      </c>
      <c r="C81" s="863" t="str">
        <f t="shared" si="10"/>
        <v/>
      </c>
      <c r="D81" s="863" t="str">
        <f t="shared" si="11"/>
        <v/>
      </c>
      <c r="E81" s="863" t="str">
        <f t="shared" si="12"/>
        <v/>
      </c>
      <c r="F81" s="863" t="str">
        <f t="shared" si="13"/>
        <v/>
      </c>
      <c r="G81" s="879" t="str">
        <f t="shared" si="14"/>
        <v/>
      </c>
      <c r="K81" s="119"/>
    </row>
    <row r="82" spans="1:11" ht="15" customHeight="1">
      <c r="A82" s="114"/>
      <c r="B82" s="877">
        <v>68</v>
      </c>
      <c r="C82" s="863" t="str">
        <f t="shared" si="10"/>
        <v/>
      </c>
      <c r="D82" s="863" t="str">
        <f t="shared" si="11"/>
        <v/>
      </c>
      <c r="E82" s="863" t="str">
        <f t="shared" si="12"/>
        <v/>
      </c>
      <c r="F82" s="863" t="str">
        <f t="shared" si="13"/>
        <v/>
      </c>
      <c r="G82" s="879" t="str">
        <f t="shared" si="14"/>
        <v/>
      </c>
      <c r="K82" s="119"/>
    </row>
    <row r="83" spans="1:11" ht="15" customHeight="1">
      <c r="A83" s="114"/>
      <c r="B83" s="877">
        <v>69</v>
      </c>
      <c r="C83" s="863" t="str">
        <f t="shared" si="10"/>
        <v/>
      </c>
      <c r="D83" s="863" t="str">
        <f t="shared" si="11"/>
        <v/>
      </c>
      <c r="E83" s="863" t="str">
        <f t="shared" si="12"/>
        <v/>
      </c>
      <c r="F83" s="863" t="str">
        <f t="shared" si="13"/>
        <v/>
      </c>
      <c r="G83" s="879" t="str">
        <f t="shared" si="14"/>
        <v/>
      </c>
      <c r="K83" s="119"/>
    </row>
    <row r="84" spans="1:11" ht="15" customHeight="1">
      <c r="A84" s="114"/>
      <c r="B84" s="877">
        <v>70</v>
      </c>
      <c r="C84" s="863" t="str">
        <f t="shared" si="10"/>
        <v/>
      </c>
      <c r="D84" s="863" t="str">
        <f t="shared" si="11"/>
        <v/>
      </c>
      <c r="E84" s="863" t="str">
        <f t="shared" si="12"/>
        <v/>
      </c>
      <c r="F84" s="863" t="str">
        <f t="shared" si="13"/>
        <v/>
      </c>
      <c r="G84" s="879" t="str">
        <f t="shared" si="14"/>
        <v/>
      </c>
      <c r="K84" s="119"/>
    </row>
    <row r="85" spans="1:11" ht="15" customHeight="1">
      <c r="A85" s="114"/>
      <c r="B85" s="877">
        <v>71</v>
      </c>
      <c r="C85" s="863" t="str">
        <f t="shared" si="10"/>
        <v/>
      </c>
      <c r="D85" s="863" t="str">
        <f t="shared" si="11"/>
        <v/>
      </c>
      <c r="E85" s="863" t="str">
        <f t="shared" si="12"/>
        <v/>
      </c>
      <c r="F85" s="863" t="str">
        <f t="shared" si="13"/>
        <v/>
      </c>
      <c r="G85" s="879" t="str">
        <f t="shared" si="14"/>
        <v/>
      </c>
      <c r="K85" s="119"/>
    </row>
    <row r="86" spans="1:11" ht="15" customHeight="1">
      <c r="A86" s="114"/>
      <c r="B86" s="877">
        <v>72</v>
      </c>
      <c r="C86" s="863" t="str">
        <f t="shared" si="10"/>
        <v/>
      </c>
      <c r="D86" s="863" t="str">
        <f t="shared" si="11"/>
        <v/>
      </c>
      <c r="E86" s="863" t="str">
        <f t="shared" si="12"/>
        <v/>
      </c>
      <c r="F86" s="863" t="str">
        <f t="shared" si="13"/>
        <v/>
      </c>
      <c r="G86" s="879" t="str">
        <f t="shared" si="14"/>
        <v/>
      </c>
      <c r="K86" s="119"/>
    </row>
    <row r="87" spans="1:11" ht="15" customHeight="1">
      <c r="A87" s="114"/>
      <c r="B87" s="877">
        <v>73</v>
      </c>
      <c r="C87" s="863" t="str">
        <f t="shared" si="10"/>
        <v/>
      </c>
      <c r="D87" s="863" t="str">
        <f t="shared" si="11"/>
        <v/>
      </c>
      <c r="E87" s="863" t="str">
        <f t="shared" si="12"/>
        <v/>
      </c>
      <c r="F87" s="863" t="str">
        <f t="shared" si="13"/>
        <v/>
      </c>
      <c r="G87" s="879" t="str">
        <f t="shared" si="14"/>
        <v/>
      </c>
      <c r="K87" s="119"/>
    </row>
    <row r="88" spans="1:11" ht="15" customHeight="1">
      <c r="A88" s="114"/>
      <c r="B88" s="877">
        <v>74</v>
      </c>
      <c r="C88" s="863" t="str">
        <f t="shared" si="10"/>
        <v/>
      </c>
      <c r="D88" s="863" t="str">
        <f t="shared" si="11"/>
        <v/>
      </c>
      <c r="E88" s="863" t="str">
        <f t="shared" si="12"/>
        <v/>
      </c>
      <c r="F88" s="863" t="str">
        <f t="shared" si="13"/>
        <v/>
      </c>
      <c r="G88" s="879" t="str">
        <f t="shared" si="14"/>
        <v/>
      </c>
      <c r="K88" s="119"/>
    </row>
    <row r="89" spans="1:11" ht="15" customHeight="1">
      <c r="A89" s="114"/>
      <c r="B89" s="877">
        <v>75</v>
      </c>
      <c r="C89" s="863" t="str">
        <f t="shared" si="10"/>
        <v/>
      </c>
      <c r="D89" s="863" t="str">
        <f t="shared" si="11"/>
        <v/>
      </c>
      <c r="E89" s="863" t="str">
        <f t="shared" si="12"/>
        <v/>
      </c>
      <c r="F89" s="863" t="str">
        <f t="shared" si="13"/>
        <v/>
      </c>
      <c r="G89" s="879" t="str">
        <f t="shared" si="14"/>
        <v/>
      </c>
      <c r="K89" s="119"/>
    </row>
    <row r="90" spans="1:11" ht="15" customHeight="1">
      <c r="A90" s="114"/>
      <c r="B90" s="877">
        <v>76</v>
      </c>
      <c r="C90" s="863" t="str">
        <f t="shared" si="10"/>
        <v/>
      </c>
      <c r="D90" s="863" t="str">
        <f t="shared" si="11"/>
        <v/>
      </c>
      <c r="E90" s="863" t="str">
        <f t="shared" si="12"/>
        <v/>
      </c>
      <c r="F90" s="863" t="str">
        <f t="shared" si="13"/>
        <v/>
      </c>
      <c r="G90" s="879" t="str">
        <f t="shared" si="14"/>
        <v/>
      </c>
      <c r="K90" s="119"/>
    </row>
    <row r="91" spans="1:11" ht="15" customHeight="1">
      <c r="A91" s="114"/>
      <c r="B91" s="877">
        <v>77</v>
      </c>
      <c r="C91" s="863" t="str">
        <f t="shared" si="10"/>
        <v/>
      </c>
      <c r="D91" s="863" t="str">
        <f t="shared" si="11"/>
        <v/>
      </c>
      <c r="E91" s="863" t="str">
        <f t="shared" si="12"/>
        <v/>
      </c>
      <c r="F91" s="863" t="str">
        <f t="shared" si="13"/>
        <v/>
      </c>
      <c r="G91" s="879" t="str">
        <f t="shared" si="14"/>
        <v/>
      </c>
      <c r="K91" s="119"/>
    </row>
    <row r="92" spans="1:11" ht="15" customHeight="1">
      <c r="A92" s="114"/>
      <c r="B92" s="877">
        <v>78</v>
      </c>
      <c r="C92" s="863" t="str">
        <f t="shared" si="10"/>
        <v/>
      </c>
      <c r="D92" s="863" t="str">
        <f t="shared" si="11"/>
        <v/>
      </c>
      <c r="E92" s="863" t="str">
        <f t="shared" si="12"/>
        <v/>
      </c>
      <c r="F92" s="863" t="str">
        <f t="shared" si="13"/>
        <v/>
      </c>
      <c r="G92" s="879" t="str">
        <f t="shared" si="14"/>
        <v/>
      </c>
      <c r="K92" s="119"/>
    </row>
    <row r="93" spans="1:11" ht="15" customHeight="1">
      <c r="A93" s="114"/>
      <c r="B93" s="877">
        <v>79</v>
      </c>
      <c r="C93" s="863" t="str">
        <f t="shared" si="10"/>
        <v/>
      </c>
      <c r="D93" s="863" t="str">
        <f t="shared" si="11"/>
        <v/>
      </c>
      <c r="E93" s="863" t="str">
        <f t="shared" si="12"/>
        <v/>
      </c>
      <c r="F93" s="863" t="str">
        <f t="shared" si="13"/>
        <v/>
      </c>
      <c r="G93" s="879" t="str">
        <f t="shared" si="14"/>
        <v/>
      </c>
      <c r="K93" s="119"/>
    </row>
    <row r="94" spans="1:11" ht="15" customHeight="1">
      <c r="A94" s="114"/>
      <c r="B94" s="880">
        <v>80</v>
      </c>
      <c r="C94" s="881" t="str">
        <f t="shared" si="10"/>
        <v/>
      </c>
      <c r="D94" s="881" t="str">
        <f t="shared" si="11"/>
        <v/>
      </c>
      <c r="E94" s="881" t="str">
        <f t="shared" si="12"/>
        <v/>
      </c>
      <c r="F94" s="881" t="str">
        <f t="shared" si="13"/>
        <v/>
      </c>
      <c r="G94" s="882" t="str">
        <f t="shared" si="14"/>
        <v/>
      </c>
      <c r="K94" s="119"/>
    </row>
    <row r="95" spans="1:11" ht="15" customHeight="1">
      <c r="A95" s="114"/>
      <c r="C95" s="863"/>
      <c r="D95" s="863"/>
      <c r="E95" s="863"/>
      <c r="F95" s="863"/>
      <c r="K95" s="119"/>
    </row>
    <row r="96" spans="1:11" ht="15" customHeight="1">
      <c r="A96" s="114"/>
      <c r="C96" s="863"/>
      <c r="D96" s="863"/>
      <c r="E96" s="863"/>
      <c r="F96" s="863"/>
      <c r="K96" s="119"/>
    </row>
    <row r="97" spans="1:11" ht="15" customHeight="1">
      <c r="A97" s="150"/>
      <c r="B97" s="51"/>
      <c r="C97" s="51"/>
      <c r="D97" s="51"/>
      <c r="E97" s="51"/>
      <c r="F97" s="51"/>
      <c r="G97" s="51"/>
      <c r="H97" s="51"/>
      <c r="I97" s="51"/>
      <c r="J97" s="51"/>
      <c r="K97" s="152"/>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50"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81"/>
  <sheetViews>
    <sheetView workbookViewId="0"/>
  </sheetViews>
  <sheetFormatPr baseColWidth="10" defaultColWidth="8.7265625" defaultRowHeight="12.5"/>
  <cols>
    <col min="1" max="1" width="13" customWidth="1"/>
    <col min="2" max="2" width="41" customWidth="1"/>
    <col min="3" max="11" width="13" customWidth="1"/>
  </cols>
  <sheetData>
    <row r="1" spans="1:11">
      <c r="A1" t="s">
        <v>1174</v>
      </c>
      <c r="B1" t="s">
        <v>820</v>
      </c>
      <c r="C1" t="s">
        <v>1406</v>
      </c>
      <c r="D1" t="s">
        <v>1407</v>
      </c>
      <c r="E1" t="s">
        <v>1408</v>
      </c>
      <c r="F1" t="s">
        <v>1409</v>
      </c>
      <c r="G1" t="s">
        <v>1179</v>
      </c>
      <c r="H1" t="s">
        <v>1180</v>
      </c>
      <c r="I1" t="s">
        <v>1181</v>
      </c>
      <c r="J1" t="s">
        <v>1410</v>
      </c>
      <c r="K1" t="s">
        <v>1411</v>
      </c>
    </row>
    <row r="2" spans="1:11">
      <c r="A2">
        <v>46</v>
      </c>
      <c r="B2" t="s">
        <v>1412</v>
      </c>
      <c r="C2" s="451">
        <v>1499999923.28</v>
      </c>
      <c r="D2" s="451">
        <v>0</v>
      </c>
      <c r="E2" s="451">
        <v>0</v>
      </c>
      <c r="F2" s="451">
        <v>0</v>
      </c>
      <c r="G2" s="451">
        <v>0</v>
      </c>
      <c r="H2" s="451">
        <v>0</v>
      </c>
      <c r="I2" s="451">
        <v>0</v>
      </c>
      <c r="J2" s="451">
        <v>0</v>
      </c>
      <c r="K2" s="451">
        <v>0</v>
      </c>
    </row>
    <row r="3" spans="1:11">
      <c r="A3">
        <v>46</v>
      </c>
      <c r="B3" t="s">
        <v>1413</v>
      </c>
      <c r="C3" s="451">
        <v>1499999995.49</v>
      </c>
      <c r="D3" s="451">
        <v>757130.03</v>
      </c>
      <c r="E3" s="451">
        <v>2676726.52</v>
      </c>
      <c r="F3" s="451">
        <v>1766110.91</v>
      </c>
      <c r="G3" s="451">
        <v>68625.87</v>
      </c>
      <c r="H3" s="451">
        <v>14833.8</v>
      </c>
      <c r="I3" s="451">
        <v>53904.05</v>
      </c>
      <c r="J3" s="451">
        <v>43593.52</v>
      </c>
      <c r="K3" s="451">
        <v>2959.4</v>
      </c>
    </row>
    <row r="4" spans="1:11">
      <c r="A4">
        <v>46</v>
      </c>
      <c r="B4" t="s">
        <v>1414</v>
      </c>
      <c r="C4" s="451">
        <v>1499999997.3900001</v>
      </c>
      <c r="D4" s="451">
        <v>3575957.23</v>
      </c>
      <c r="E4" s="451">
        <v>4765554.42</v>
      </c>
      <c r="F4" s="451">
        <v>2650188.9500000002</v>
      </c>
      <c r="G4" s="451">
        <v>112937.12</v>
      </c>
      <c r="H4" s="451">
        <v>68953.94</v>
      </c>
      <c r="I4" s="451">
        <v>128133.41</v>
      </c>
      <c r="J4" s="451">
        <v>105512.09</v>
      </c>
      <c r="K4" s="451">
        <v>6172.68</v>
      </c>
    </row>
    <row r="5" spans="1:11">
      <c r="A5">
        <v>46</v>
      </c>
      <c r="B5" t="s">
        <v>1415</v>
      </c>
      <c r="C5" s="451">
        <v>1499999964.6400001</v>
      </c>
      <c r="D5" s="451">
        <v>1210121.3700000001</v>
      </c>
      <c r="E5" s="451">
        <v>3358271.45</v>
      </c>
      <c r="F5" s="451">
        <v>4601589.59</v>
      </c>
      <c r="G5" s="451">
        <v>4111024.57</v>
      </c>
      <c r="H5" s="451">
        <v>21379.7</v>
      </c>
      <c r="I5" s="451">
        <v>72442.759999999995</v>
      </c>
      <c r="J5" s="451">
        <v>149372.81</v>
      </c>
      <c r="K5" s="451">
        <v>198630.13</v>
      </c>
    </row>
    <row r="6" spans="1:11">
      <c r="A6">
        <v>46</v>
      </c>
      <c r="B6" t="s">
        <v>1416</v>
      </c>
      <c r="C6" s="451">
        <v>1499999975.8599999</v>
      </c>
      <c r="D6" s="451">
        <v>5006269.4800000004</v>
      </c>
      <c r="E6" s="451">
        <v>1462608.64</v>
      </c>
      <c r="F6" s="451">
        <v>4662989.34</v>
      </c>
      <c r="G6" s="451">
        <v>6574553.3799999999</v>
      </c>
      <c r="H6" s="451">
        <v>92676.97</v>
      </c>
      <c r="I6" s="451">
        <v>33724.910000000003</v>
      </c>
      <c r="J6" s="451">
        <v>136550.93</v>
      </c>
      <c r="K6" s="451">
        <v>342773.62</v>
      </c>
    </row>
    <row r="7" spans="1:11">
      <c r="A7">
        <v>46</v>
      </c>
      <c r="B7" t="s">
        <v>1417</v>
      </c>
      <c r="C7" s="451">
        <v>1499999963.2</v>
      </c>
      <c r="D7" s="451">
        <v>4566763.51</v>
      </c>
      <c r="E7" s="451">
        <v>1657944.28</v>
      </c>
      <c r="F7" s="451">
        <v>5143113.0599999996</v>
      </c>
      <c r="G7" s="451">
        <v>6972177.6200000001</v>
      </c>
      <c r="H7" s="451">
        <v>85532.56</v>
      </c>
      <c r="I7" s="451">
        <v>46176.42</v>
      </c>
      <c r="J7" s="451">
        <v>151334</v>
      </c>
      <c r="K7" s="451">
        <v>361716.13</v>
      </c>
    </row>
    <row r="8" spans="1:11">
      <c r="A8">
        <v>46</v>
      </c>
      <c r="B8" t="s">
        <v>1418</v>
      </c>
      <c r="C8" s="451">
        <v>1499999991.78</v>
      </c>
      <c r="D8" s="451">
        <v>1603435.17</v>
      </c>
      <c r="E8" s="451">
        <v>5298840.03</v>
      </c>
      <c r="F8" s="451">
        <v>5980953.7000000002</v>
      </c>
      <c r="G8" s="451">
        <v>7476368.0199999996</v>
      </c>
      <c r="H8" s="451">
        <v>32157.81</v>
      </c>
      <c r="I8" s="451">
        <v>114502.43</v>
      </c>
      <c r="J8" s="451">
        <v>178924.43</v>
      </c>
      <c r="K8" s="451">
        <v>375613.06</v>
      </c>
    </row>
    <row r="9" spans="1:11">
      <c r="A9">
        <v>46</v>
      </c>
      <c r="B9" t="s">
        <v>1419</v>
      </c>
      <c r="C9" s="451">
        <v>1499999977.1099999</v>
      </c>
      <c r="D9" s="451">
        <v>5954978.6900000004</v>
      </c>
      <c r="E9" s="451">
        <v>6810370.79</v>
      </c>
      <c r="F9" s="451">
        <v>5188200.54</v>
      </c>
      <c r="G9" s="451">
        <v>5351753.6500000004</v>
      </c>
      <c r="H9" s="451">
        <v>112079.48</v>
      </c>
      <c r="I9" s="451">
        <v>186009.28</v>
      </c>
      <c r="J9" s="451">
        <v>214449.1</v>
      </c>
      <c r="K9" s="451">
        <v>337003.25</v>
      </c>
    </row>
    <row r="10" spans="1:11">
      <c r="A10">
        <v>46</v>
      </c>
      <c r="B10" t="s">
        <v>1420</v>
      </c>
      <c r="C10" s="451">
        <v>1463993165.4200001</v>
      </c>
      <c r="D10" s="451">
        <v>6446117.1600000001</v>
      </c>
      <c r="E10" s="451">
        <v>7005492.7800000003</v>
      </c>
      <c r="F10" s="451">
        <v>1463776.36</v>
      </c>
      <c r="G10" s="451">
        <v>9715704.7200000007</v>
      </c>
      <c r="H10" s="451">
        <v>123006.95</v>
      </c>
      <c r="I10" s="451">
        <v>179221.49</v>
      </c>
      <c r="J10" s="451">
        <v>57481.81</v>
      </c>
      <c r="K10" s="451">
        <v>530813.38</v>
      </c>
    </row>
    <row r="11" spans="1:11">
      <c r="A11">
        <v>46</v>
      </c>
      <c r="B11" t="s">
        <v>1421</v>
      </c>
      <c r="C11" s="451">
        <v>1415199741.3900001</v>
      </c>
      <c r="D11" s="451">
        <v>2238654.83</v>
      </c>
      <c r="E11" s="451">
        <v>5996917.6699999999</v>
      </c>
      <c r="F11" s="451">
        <v>6454997.8700000001</v>
      </c>
      <c r="G11" s="451">
        <v>10137307.65</v>
      </c>
      <c r="H11" s="451">
        <v>44321.94</v>
      </c>
      <c r="I11" s="451">
        <v>132169.87</v>
      </c>
      <c r="J11" s="451">
        <v>195777.7</v>
      </c>
      <c r="K11" s="451">
        <v>532746.42000000004</v>
      </c>
    </row>
    <row r="12" spans="1:11">
      <c r="A12">
        <v>46</v>
      </c>
      <c r="B12" t="s">
        <v>1422</v>
      </c>
      <c r="C12" s="451">
        <v>1372585564.24</v>
      </c>
      <c r="D12" s="451">
        <v>7563240.3099999996</v>
      </c>
      <c r="E12" s="451">
        <v>7090197.7400000002</v>
      </c>
      <c r="F12" s="451">
        <v>6267018.8499999996</v>
      </c>
      <c r="G12" s="451">
        <v>6807347.4400000004</v>
      </c>
      <c r="H12" s="451">
        <v>141293.28</v>
      </c>
      <c r="I12" s="451">
        <v>189944.06</v>
      </c>
      <c r="J12" s="451">
        <v>250284.15</v>
      </c>
      <c r="K12" s="451">
        <v>415336.12</v>
      </c>
    </row>
    <row r="13" spans="1:11">
      <c r="A13">
        <v>46</v>
      </c>
      <c r="B13" t="s">
        <v>1423</v>
      </c>
      <c r="C13" s="451">
        <v>1331663596.5</v>
      </c>
      <c r="D13" s="451">
        <v>2732311.88</v>
      </c>
      <c r="E13" s="451">
        <v>10500510.34</v>
      </c>
      <c r="F13" s="451">
        <v>5782636.4900000002</v>
      </c>
      <c r="G13" s="451">
        <v>7059585.1600000001</v>
      </c>
      <c r="H13" s="451">
        <v>55100.21</v>
      </c>
      <c r="I13" s="451">
        <v>267049.38</v>
      </c>
      <c r="J13" s="451">
        <v>243431.54</v>
      </c>
      <c r="K13" s="451">
        <v>429013.2</v>
      </c>
    </row>
    <row r="14" spans="1:11">
      <c r="A14">
        <v>46</v>
      </c>
      <c r="B14" t="s">
        <v>1424</v>
      </c>
      <c r="C14" s="451">
        <v>1288936809.78</v>
      </c>
      <c r="D14" s="451">
        <v>7393637.6399999997</v>
      </c>
      <c r="E14" s="451">
        <v>2327116.4900000002</v>
      </c>
      <c r="F14" s="451">
        <v>9714844.4100000001</v>
      </c>
      <c r="G14" s="451">
        <v>7255313.75</v>
      </c>
      <c r="H14" s="451">
        <v>138441.01999999999</v>
      </c>
      <c r="I14" s="451">
        <v>70928.84</v>
      </c>
      <c r="J14" s="451">
        <v>352988.8</v>
      </c>
      <c r="K14" s="451">
        <v>446751.21</v>
      </c>
    </row>
    <row r="15" spans="1:11">
      <c r="A15">
        <v>46</v>
      </c>
      <c r="B15" t="s">
        <v>1425</v>
      </c>
      <c r="C15" s="451">
        <v>1247253555.3499999</v>
      </c>
      <c r="D15" s="451">
        <v>7014410.5199999996</v>
      </c>
      <c r="E15" s="451">
        <v>7401076.8899999997</v>
      </c>
      <c r="F15" s="451">
        <v>1877592.92</v>
      </c>
      <c r="G15" s="451">
        <v>10357769.619999999</v>
      </c>
      <c r="H15" s="451">
        <v>134992.01</v>
      </c>
      <c r="I15" s="451">
        <v>207011.54</v>
      </c>
      <c r="J15" s="451">
        <v>78985.960000000006</v>
      </c>
      <c r="K15" s="451">
        <v>580135.34</v>
      </c>
    </row>
    <row r="16" spans="1:11">
      <c r="A16">
        <v>46</v>
      </c>
      <c r="B16" t="s">
        <v>1426</v>
      </c>
      <c r="C16" s="451">
        <v>1209511439</v>
      </c>
      <c r="D16" s="451">
        <v>7428388.96</v>
      </c>
      <c r="E16" s="451">
        <v>2532531.7000000002</v>
      </c>
      <c r="F16" s="451">
        <v>6638429.0599999996</v>
      </c>
      <c r="G16" s="451">
        <v>11118878.49</v>
      </c>
      <c r="H16" s="451">
        <v>142448.29999999999</v>
      </c>
      <c r="I16" s="451">
        <v>70440.69</v>
      </c>
      <c r="J16" s="451">
        <v>215351.89</v>
      </c>
      <c r="K16" s="451">
        <v>627439.17000000004</v>
      </c>
    </row>
    <row r="17" spans="1:11">
      <c r="A17">
        <v>46</v>
      </c>
      <c r="B17" t="s">
        <v>1427</v>
      </c>
      <c r="C17" s="451">
        <v>1168522209.0599999</v>
      </c>
      <c r="D17" s="451">
        <v>2472950.6800000002</v>
      </c>
      <c r="E17" s="451">
        <v>5200945.99</v>
      </c>
      <c r="F17" s="451">
        <v>7034148.1900000004</v>
      </c>
      <c r="G17" s="451">
        <v>10657291.77</v>
      </c>
      <c r="H17" s="451">
        <v>48803.18</v>
      </c>
      <c r="I17" s="451">
        <v>115569.5</v>
      </c>
      <c r="J17" s="451">
        <v>233055.53</v>
      </c>
      <c r="K17" s="451">
        <v>612226.68000000005</v>
      </c>
    </row>
    <row r="18" spans="1:11">
      <c r="A18">
        <v>46</v>
      </c>
      <c r="B18" t="s">
        <v>1428</v>
      </c>
    </row>
    <row r="19" spans="1:11">
      <c r="A19">
        <v>46</v>
      </c>
      <c r="B19" t="s">
        <v>1429</v>
      </c>
    </row>
    <row r="20" spans="1:11">
      <c r="A20">
        <v>46</v>
      </c>
      <c r="B20" t="s">
        <v>1430</v>
      </c>
    </row>
    <row r="21" spans="1:11">
      <c r="A21">
        <v>46</v>
      </c>
      <c r="B21" t="s">
        <v>1431</v>
      </c>
    </row>
    <row r="22" spans="1:11">
      <c r="A22">
        <v>46</v>
      </c>
      <c r="B22" t="s">
        <v>1432</v>
      </c>
    </row>
    <row r="23" spans="1:11">
      <c r="A23">
        <v>46</v>
      </c>
      <c r="B23" t="s">
        <v>1433</v>
      </c>
    </row>
    <row r="24" spans="1:11">
      <c r="A24">
        <v>46</v>
      </c>
      <c r="B24" t="s">
        <v>1434</v>
      </c>
    </row>
    <row r="25" spans="1:11">
      <c r="A25">
        <v>46</v>
      </c>
      <c r="B25" t="s">
        <v>1435</v>
      </c>
    </row>
    <row r="26" spans="1:11">
      <c r="A26">
        <v>46</v>
      </c>
      <c r="B26" t="s">
        <v>1436</v>
      </c>
    </row>
    <row r="27" spans="1:11">
      <c r="A27">
        <v>46</v>
      </c>
      <c r="B27" t="s">
        <v>1437</v>
      </c>
    </row>
    <row r="28" spans="1:11">
      <c r="A28">
        <v>46</v>
      </c>
      <c r="B28" t="s">
        <v>1438</v>
      </c>
    </row>
    <row r="29" spans="1:11">
      <c r="A29">
        <v>46</v>
      </c>
      <c r="B29" t="s">
        <v>1439</v>
      </c>
    </row>
    <row r="30" spans="1:11">
      <c r="A30">
        <v>46</v>
      </c>
      <c r="B30" t="s">
        <v>1440</v>
      </c>
    </row>
    <row r="31" spans="1:11">
      <c r="A31">
        <v>46</v>
      </c>
      <c r="B31" t="s">
        <v>1441</v>
      </c>
    </row>
    <row r="32" spans="1:11">
      <c r="A32">
        <v>46</v>
      </c>
      <c r="B32" t="s">
        <v>1442</v>
      </c>
    </row>
    <row r="33" spans="1:2">
      <c r="A33">
        <v>46</v>
      </c>
      <c r="B33" t="s">
        <v>1443</v>
      </c>
    </row>
    <row r="34" spans="1:2">
      <c r="A34">
        <v>46</v>
      </c>
      <c r="B34" t="s">
        <v>1444</v>
      </c>
    </row>
    <row r="35" spans="1:2">
      <c r="A35">
        <v>46</v>
      </c>
      <c r="B35" t="s">
        <v>1445</v>
      </c>
    </row>
    <row r="36" spans="1:2">
      <c r="A36">
        <v>46</v>
      </c>
      <c r="B36" t="s">
        <v>1446</v>
      </c>
    </row>
    <row r="37" spans="1:2">
      <c r="A37">
        <v>46</v>
      </c>
      <c r="B37" t="s">
        <v>1447</v>
      </c>
    </row>
    <row r="38" spans="1:2">
      <c r="A38">
        <v>46</v>
      </c>
      <c r="B38" t="s">
        <v>1448</v>
      </c>
    </row>
    <row r="39" spans="1:2">
      <c r="A39">
        <v>46</v>
      </c>
      <c r="B39" t="s">
        <v>1449</v>
      </c>
    </row>
    <row r="40" spans="1:2">
      <c r="A40">
        <v>46</v>
      </c>
      <c r="B40" t="s">
        <v>1450</v>
      </c>
    </row>
    <row r="41" spans="1:2">
      <c r="A41">
        <v>46</v>
      </c>
      <c r="B41" t="s">
        <v>1451</v>
      </c>
    </row>
    <row r="42" spans="1:2">
      <c r="A42">
        <v>46</v>
      </c>
      <c r="B42" t="s">
        <v>1452</v>
      </c>
    </row>
    <row r="43" spans="1:2">
      <c r="A43">
        <v>46</v>
      </c>
      <c r="B43" t="s">
        <v>1453</v>
      </c>
    </row>
    <row r="44" spans="1:2">
      <c r="A44">
        <v>46</v>
      </c>
      <c r="B44" t="s">
        <v>1454</v>
      </c>
    </row>
    <row r="45" spans="1:2">
      <c r="A45">
        <v>46</v>
      </c>
      <c r="B45" t="s">
        <v>1455</v>
      </c>
    </row>
    <row r="46" spans="1:2">
      <c r="A46">
        <v>46</v>
      </c>
      <c r="B46" t="s">
        <v>1456</v>
      </c>
    </row>
    <row r="47" spans="1:2">
      <c r="A47">
        <v>46</v>
      </c>
      <c r="B47" t="s">
        <v>1457</v>
      </c>
    </row>
    <row r="48" spans="1:2">
      <c r="A48">
        <v>46</v>
      </c>
      <c r="B48" t="s">
        <v>1458</v>
      </c>
    </row>
    <row r="49" spans="1:2">
      <c r="A49">
        <v>46</v>
      </c>
      <c r="B49" t="s">
        <v>1459</v>
      </c>
    </row>
    <row r="50" spans="1:2">
      <c r="A50">
        <v>46</v>
      </c>
      <c r="B50" t="s">
        <v>1460</v>
      </c>
    </row>
    <row r="51" spans="1:2">
      <c r="A51">
        <v>46</v>
      </c>
      <c r="B51" t="s">
        <v>1461</v>
      </c>
    </row>
    <row r="52" spans="1:2">
      <c r="A52">
        <v>46</v>
      </c>
      <c r="B52" t="s">
        <v>1462</v>
      </c>
    </row>
    <row r="53" spans="1:2">
      <c r="A53">
        <v>46</v>
      </c>
      <c r="B53" t="s">
        <v>1463</v>
      </c>
    </row>
    <row r="54" spans="1:2">
      <c r="A54">
        <v>46</v>
      </c>
      <c r="B54" t="s">
        <v>1464</v>
      </c>
    </row>
    <row r="55" spans="1:2">
      <c r="A55">
        <v>46</v>
      </c>
      <c r="B55" t="s">
        <v>1465</v>
      </c>
    </row>
    <row r="56" spans="1:2">
      <c r="A56">
        <v>46</v>
      </c>
      <c r="B56" t="s">
        <v>1466</v>
      </c>
    </row>
    <row r="57" spans="1:2">
      <c r="A57">
        <v>46</v>
      </c>
      <c r="B57" t="s">
        <v>1467</v>
      </c>
    </row>
    <row r="58" spans="1:2">
      <c r="A58">
        <v>46</v>
      </c>
      <c r="B58" t="s">
        <v>1468</v>
      </c>
    </row>
    <row r="59" spans="1:2">
      <c r="A59">
        <v>46</v>
      </c>
      <c r="B59" t="s">
        <v>1469</v>
      </c>
    </row>
    <row r="60" spans="1:2">
      <c r="A60">
        <v>46</v>
      </c>
      <c r="B60" t="s">
        <v>1470</v>
      </c>
    </row>
    <row r="61" spans="1:2">
      <c r="A61">
        <v>46</v>
      </c>
      <c r="B61" t="s">
        <v>1471</v>
      </c>
    </row>
    <row r="62" spans="1:2">
      <c r="A62">
        <v>46</v>
      </c>
      <c r="B62" t="s">
        <v>1472</v>
      </c>
    </row>
    <row r="63" spans="1:2">
      <c r="A63">
        <v>46</v>
      </c>
      <c r="B63" t="s">
        <v>1473</v>
      </c>
    </row>
    <row r="64" spans="1:2">
      <c r="A64">
        <v>46</v>
      </c>
      <c r="B64" t="s">
        <v>1474</v>
      </c>
    </row>
    <row r="65" spans="1:2">
      <c r="A65">
        <v>46</v>
      </c>
      <c r="B65" t="s">
        <v>1475</v>
      </c>
    </row>
    <row r="66" spans="1:2">
      <c r="A66">
        <v>46</v>
      </c>
      <c r="B66" t="s">
        <v>1476</v>
      </c>
    </row>
    <row r="67" spans="1:2">
      <c r="A67">
        <v>46</v>
      </c>
      <c r="B67" t="s">
        <v>1477</v>
      </c>
    </row>
    <row r="68" spans="1:2">
      <c r="A68">
        <v>46</v>
      </c>
      <c r="B68" t="s">
        <v>1478</v>
      </c>
    </row>
    <row r="69" spans="1:2">
      <c r="A69">
        <v>46</v>
      </c>
      <c r="B69" t="s">
        <v>1479</v>
      </c>
    </row>
    <row r="70" spans="1:2">
      <c r="A70">
        <v>46</v>
      </c>
      <c r="B70" t="s">
        <v>1480</v>
      </c>
    </row>
    <row r="71" spans="1:2">
      <c r="A71">
        <v>46</v>
      </c>
      <c r="B71" t="s">
        <v>1481</v>
      </c>
    </row>
    <row r="72" spans="1:2">
      <c r="A72">
        <v>46</v>
      </c>
      <c r="B72" t="s">
        <v>1482</v>
      </c>
    </row>
    <row r="73" spans="1:2">
      <c r="A73">
        <v>46</v>
      </c>
      <c r="B73" t="s">
        <v>1483</v>
      </c>
    </row>
    <row r="74" spans="1:2">
      <c r="A74">
        <v>46</v>
      </c>
      <c r="B74" t="s">
        <v>1484</v>
      </c>
    </row>
    <row r="75" spans="1:2">
      <c r="A75">
        <v>46</v>
      </c>
      <c r="B75" t="s">
        <v>1485</v>
      </c>
    </row>
    <row r="76" spans="1:2">
      <c r="A76">
        <v>46</v>
      </c>
      <c r="B76" t="s">
        <v>1486</v>
      </c>
    </row>
    <row r="77" spans="1:2">
      <c r="A77">
        <v>46</v>
      </c>
      <c r="B77" t="s">
        <v>1487</v>
      </c>
    </row>
    <row r="78" spans="1:2">
      <c r="A78">
        <v>46</v>
      </c>
      <c r="B78" t="s">
        <v>1488</v>
      </c>
    </row>
    <row r="79" spans="1:2">
      <c r="A79">
        <v>46</v>
      </c>
      <c r="B79" t="s">
        <v>1489</v>
      </c>
    </row>
    <row r="80" spans="1:2">
      <c r="A80">
        <v>46</v>
      </c>
      <c r="B80" t="s">
        <v>1490</v>
      </c>
    </row>
    <row r="81" spans="1:2">
      <c r="A81">
        <v>46</v>
      </c>
      <c r="B81" t="s">
        <v>1491</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1"/>
  <sheetViews>
    <sheetView workbookViewId="0">
      <selection activeCell="C2" sqref="C2:C17"/>
    </sheetView>
  </sheetViews>
  <sheetFormatPr baseColWidth="10" defaultColWidth="8.7265625" defaultRowHeight="12.5"/>
  <cols>
    <col min="1" max="1" width="13" customWidth="1"/>
    <col min="2" max="2" width="41" customWidth="1"/>
    <col min="3" max="11" width="13" customWidth="1"/>
  </cols>
  <sheetData>
    <row r="1" spans="1:11">
      <c r="A1" t="s">
        <v>1174</v>
      </c>
      <c r="B1" t="s">
        <v>820</v>
      </c>
      <c r="C1" t="s">
        <v>1406</v>
      </c>
      <c r="D1" t="s">
        <v>1407</v>
      </c>
      <c r="E1" t="s">
        <v>1408</v>
      </c>
      <c r="F1" t="s">
        <v>1409</v>
      </c>
      <c r="G1" t="s">
        <v>1179</v>
      </c>
      <c r="H1" t="s">
        <v>1180</v>
      </c>
      <c r="I1" t="s">
        <v>1181</v>
      </c>
      <c r="J1" t="s">
        <v>1410</v>
      </c>
      <c r="K1" t="s">
        <v>1411</v>
      </c>
    </row>
    <row r="2" spans="1:11">
      <c r="A2">
        <v>46</v>
      </c>
      <c r="B2" t="s">
        <v>1492</v>
      </c>
      <c r="C2">
        <v>0</v>
      </c>
      <c r="D2" s="451">
        <v>0</v>
      </c>
      <c r="E2" s="451">
        <v>0</v>
      </c>
      <c r="F2" s="451">
        <v>1541102469.4400001</v>
      </c>
      <c r="G2">
        <v>0</v>
      </c>
      <c r="H2" s="451">
        <v>0</v>
      </c>
      <c r="I2" s="451">
        <v>0</v>
      </c>
      <c r="J2" s="451">
        <v>0</v>
      </c>
      <c r="K2">
        <v>0</v>
      </c>
    </row>
    <row r="3" spans="1:11">
      <c r="A3">
        <v>46</v>
      </c>
      <c r="B3" t="s">
        <v>1493</v>
      </c>
      <c r="C3">
        <v>1</v>
      </c>
      <c r="D3" s="451">
        <v>10607.83</v>
      </c>
      <c r="E3" s="451">
        <v>10607.83</v>
      </c>
      <c r="F3" s="451">
        <v>1585423063.0699999</v>
      </c>
      <c r="G3">
        <v>6.6908513235950316E-6</v>
      </c>
      <c r="H3" s="451">
        <v>-60.85</v>
      </c>
      <c r="I3" s="451">
        <v>-60.85</v>
      </c>
      <c r="J3" s="451">
        <v>10668.68</v>
      </c>
      <c r="K3">
        <v>6.7292322462758026E-6</v>
      </c>
    </row>
    <row r="4" spans="1:11">
      <c r="A4">
        <v>46</v>
      </c>
      <c r="B4" t="s">
        <v>1494</v>
      </c>
      <c r="C4">
        <v>17</v>
      </c>
      <c r="D4" s="451">
        <v>597625.61</v>
      </c>
      <c r="E4" s="451">
        <v>608233.43999999994</v>
      </c>
      <c r="F4" s="451">
        <v>1635778406.99</v>
      </c>
      <c r="G4">
        <v>3.7183119510619518E-4</v>
      </c>
      <c r="H4" s="451">
        <v>-2686.47</v>
      </c>
      <c r="I4" s="451">
        <v>-2747.32</v>
      </c>
      <c r="J4" s="451">
        <v>610980.76</v>
      </c>
      <c r="K4">
        <v>3.7351071354723835E-4</v>
      </c>
    </row>
    <row r="5" spans="1:11">
      <c r="A5">
        <v>46</v>
      </c>
      <c r="B5" t="s">
        <v>1495</v>
      </c>
      <c r="C5">
        <v>73</v>
      </c>
      <c r="D5" s="451">
        <v>1145668.7</v>
      </c>
      <c r="E5" s="451">
        <v>1753902.14</v>
      </c>
      <c r="F5" s="451">
        <v>1682524642.5899999</v>
      </c>
      <c r="G5">
        <v>1.0424228540867756E-3</v>
      </c>
      <c r="H5" s="451">
        <v>-4625.67</v>
      </c>
      <c r="I5" s="451">
        <v>-7372.99</v>
      </c>
      <c r="J5" s="451">
        <v>1761275.13</v>
      </c>
      <c r="K5">
        <v>1.0468049533519906E-3</v>
      </c>
    </row>
    <row r="6" spans="1:11">
      <c r="A6">
        <v>46</v>
      </c>
      <c r="B6" t="s">
        <v>1496</v>
      </c>
      <c r="C6">
        <v>156</v>
      </c>
      <c r="D6" s="451">
        <v>2535362.5</v>
      </c>
      <c r="E6" s="451">
        <v>4289264.6399999997</v>
      </c>
      <c r="F6" s="451">
        <v>1730729044.04</v>
      </c>
      <c r="G6">
        <v>2.4782993356300704E-3</v>
      </c>
      <c r="H6" s="451">
        <v>-7904.55</v>
      </c>
      <c r="I6" s="451">
        <v>-15277.54</v>
      </c>
      <c r="J6" s="451">
        <v>4304542.18</v>
      </c>
      <c r="K6">
        <v>2.4871265637005824E-3</v>
      </c>
    </row>
    <row r="7" spans="1:11">
      <c r="A7">
        <v>46</v>
      </c>
      <c r="B7" t="s">
        <v>1497</v>
      </c>
      <c r="C7">
        <v>254</v>
      </c>
      <c r="D7" s="451">
        <v>2524769.86</v>
      </c>
      <c r="E7" s="451">
        <v>6814034.5</v>
      </c>
      <c r="F7" s="451">
        <v>1779369819.3299999</v>
      </c>
      <c r="G7">
        <v>3.8294650308083461E-3</v>
      </c>
      <c r="H7" s="451">
        <v>30231.47</v>
      </c>
      <c r="I7" s="451">
        <v>14953.93</v>
      </c>
      <c r="J7" s="451">
        <v>6799080.5700000003</v>
      </c>
      <c r="K7">
        <v>3.8210609712151411E-3</v>
      </c>
    </row>
    <row r="8" spans="1:11">
      <c r="A8">
        <v>46</v>
      </c>
      <c r="B8" t="s">
        <v>1498</v>
      </c>
      <c r="C8">
        <v>358</v>
      </c>
      <c r="D8" s="451">
        <v>2305417.02</v>
      </c>
      <c r="E8" s="451">
        <v>9119451.5199999996</v>
      </c>
      <c r="F8" s="451">
        <v>1821839776.9400001</v>
      </c>
      <c r="G8">
        <v>5.0056276273192472E-3</v>
      </c>
      <c r="H8" s="451">
        <v>-341.43</v>
      </c>
      <c r="I8" s="451">
        <v>14612.5</v>
      </c>
      <c r="J8" s="451">
        <v>9104839.0199999996</v>
      </c>
      <c r="K8">
        <v>4.9976068890606158E-3</v>
      </c>
    </row>
    <row r="9" spans="1:11">
      <c r="A9">
        <v>46</v>
      </c>
      <c r="B9" t="s">
        <v>1499</v>
      </c>
      <c r="C9">
        <v>488</v>
      </c>
      <c r="D9" s="451">
        <v>2881810.43</v>
      </c>
      <c r="E9" s="451">
        <v>12001261.949999999</v>
      </c>
      <c r="F9" s="451">
        <v>1821839776.9400001</v>
      </c>
      <c r="G9">
        <v>6.58744094947667E-3</v>
      </c>
      <c r="H9" s="451">
        <v>32866.99</v>
      </c>
      <c r="I9" s="451">
        <v>47479.49</v>
      </c>
      <c r="J9" s="451">
        <v>11953782.460000001</v>
      </c>
      <c r="K9">
        <v>6.5613796620896158E-3</v>
      </c>
    </row>
    <row r="10" spans="1:11">
      <c r="A10">
        <v>46</v>
      </c>
      <c r="B10" t="s">
        <v>1500</v>
      </c>
      <c r="C10">
        <v>648</v>
      </c>
      <c r="D10" s="451">
        <v>3767763.23</v>
      </c>
      <c r="E10" s="451">
        <v>15769025.18</v>
      </c>
      <c r="F10" s="451">
        <v>1821839776.9400001</v>
      </c>
      <c r="G10">
        <v>8.6555499444006985E-3</v>
      </c>
      <c r="H10" s="451">
        <v>43790.36</v>
      </c>
      <c r="I10" s="451">
        <v>91269.85</v>
      </c>
      <c r="J10" s="451">
        <v>15677755.33</v>
      </c>
      <c r="K10">
        <v>8.6054523171805383E-3</v>
      </c>
    </row>
    <row r="11" spans="1:11">
      <c r="A11">
        <v>46</v>
      </c>
      <c r="B11" t="s">
        <v>1501</v>
      </c>
      <c r="C11">
        <v>812</v>
      </c>
      <c r="D11" s="451">
        <v>3479713.94</v>
      </c>
      <c r="E11" s="451">
        <v>19248739.120000001</v>
      </c>
      <c r="F11" s="451">
        <v>1821839776.9400001</v>
      </c>
      <c r="G11">
        <v>1.0565549925762727E-2</v>
      </c>
      <c r="H11" s="451">
        <v>18191.7</v>
      </c>
      <c r="I11" s="451">
        <v>109461.55</v>
      </c>
      <c r="J11" s="451">
        <v>19139277.57</v>
      </c>
      <c r="K11">
        <v>1.0505466952833102E-2</v>
      </c>
    </row>
    <row r="12" spans="1:11">
      <c r="A12">
        <v>46</v>
      </c>
      <c r="B12" t="s">
        <v>1502</v>
      </c>
      <c r="C12">
        <v>990</v>
      </c>
      <c r="D12" s="451">
        <v>3498739.67</v>
      </c>
      <c r="E12" s="451">
        <v>22747478.789999999</v>
      </c>
      <c r="F12" s="451">
        <v>1821839776.9400001</v>
      </c>
      <c r="G12">
        <v>1.2485993048305893E-2</v>
      </c>
      <c r="H12" s="451">
        <v>52893.82</v>
      </c>
      <c r="I12" s="451">
        <v>162355.37</v>
      </c>
      <c r="J12" s="451">
        <v>22585123.420000002</v>
      </c>
      <c r="K12">
        <v>1.2396876885592234E-2</v>
      </c>
    </row>
    <row r="13" spans="1:11">
      <c r="A13">
        <v>46</v>
      </c>
      <c r="B13" t="s">
        <v>1503</v>
      </c>
      <c r="C13">
        <v>1162</v>
      </c>
      <c r="D13" s="451">
        <v>4330592.1500000004</v>
      </c>
      <c r="E13" s="451">
        <v>27078070.940000001</v>
      </c>
      <c r="F13" s="451">
        <v>1821839776.9400001</v>
      </c>
      <c r="G13">
        <v>1.4863036411182595E-2</v>
      </c>
      <c r="H13" s="451">
        <v>44439.17</v>
      </c>
      <c r="I13" s="451">
        <v>206794.54</v>
      </c>
      <c r="J13" s="451">
        <v>26871276.399999999</v>
      </c>
      <c r="K13">
        <v>1.4749527779623713E-2</v>
      </c>
    </row>
    <row r="14" spans="1:11">
      <c r="A14">
        <v>46</v>
      </c>
      <c r="B14" t="s">
        <v>1504</v>
      </c>
      <c r="C14">
        <v>1368</v>
      </c>
      <c r="D14" s="451">
        <v>4854709.32</v>
      </c>
      <c r="E14" s="451">
        <v>31932780.260000002</v>
      </c>
      <c r="F14" s="451">
        <v>1821839776.9400001</v>
      </c>
      <c r="G14">
        <v>1.7527765429315063E-2</v>
      </c>
      <c r="H14" s="451">
        <v>14545.19</v>
      </c>
      <c r="I14" s="451">
        <v>221339.73</v>
      </c>
      <c r="J14" s="451">
        <v>31711440.530000001</v>
      </c>
      <c r="K14">
        <v>1.7406273005666387E-2</v>
      </c>
    </row>
    <row r="15" spans="1:11">
      <c r="A15">
        <v>46</v>
      </c>
      <c r="B15" t="s">
        <v>1505</v>
      </c>
      <c r="C15">
        <v>1507</v>
      </c>
      <c r="D15" s="451">
        <v>3350004.4</v>
      </c>
      <c r="E15" s="451">
        <v>35282784.659999996</v>
      </c>
      <c r="F15" s="451">
        <v>1821839776.9400001</v>
      </c>
      <c r="G15">
        <v>1.9366568403321228E-2</v>
      </c>
      <c r="H15" s="451">
        <v>91203.18</v>
      </c>
      <c r="I15" s="451">
        <v>312542.90999999997</v>
      </c>
      <c r="J15" s="451">
        <v>34970241.75</v>
      </c>
      <c r="K15">
        <v>1.9195014947327994E-2</v>
      </c>
    </row>
    <row r="16" spans="1:11">
      <c r="A16">
        <v>46</v>
      </c>
      <c r="B16" t="s">
        <v>1506</v>
      </c>
      <c r="C16">
        <v>1706</v>
      </c>
      <c r="D16" s="451">
        <v>4096094.71</v>
      </c>
      <c r="E16" s="451">
        <v>39378879.369999997</v>
      </c>
      <c r="F16" s="451">
        <v>1821839776.9400001</v>
      </c>
      <c r="G16">
        <v>2.1614897132250337E-2</v>
      </c>
      <c r="H16" s="451">
        <v>73676.899999999994</v>
      </c>
      <c r="I16" s="451">
        <v>386219.81</v>
      </c>
      <c r="J16" s="451">
        <v>38992659.560000002</v>
      </c>
      <c r="K16">
        <v>2.1402902743452488E-2</v>
      </c>
    </row>
    <row r="17" spans="1:11">
      <c r="A17">
        <v>46</v>
      </c>
      <c r="B17" t="s">
        <v>1507</v>
      </c>
      <c r="C17">
        <v>1883</v>
      </c>
      <c r="D17" s="451">
        <v>3646087.28</v>
      </c>
      <c r="E17" s="451">
        <v>43024966.649999999</v>
      </c>
      <c r="F17" s="451">
        <v>1821839776.9400001</v>
      </c>
      <c r="G17">
        <v>2.3616218722738409E-2</v>
      </c>
      <c r="H17" s="451">
        <v>107353.22</v>
      </c>
      <c r="I17" s="451">
        <v>493573.03</v>
      </c>
      <c r="J17" s="451">
        <v>42531393.619999997</v>
      </c>
      <c r="K17">
        <v>2.3345298614259376E-2</v>
      </c>
    </row>
    <row r="18" spans="1:11">
      <c r="A18">
        <v>46</v>
      </c>
      <c r="B18" t="s">
        <v>1508</v>
      </c>
    </row>
    <row r="19" spans="1:11">
      <c r="A19">
        <v>46</v>
      </c>
      <c r="B19" t="s">
        <v>1509</v>
      </c>
    </row>
    <row r="20" spans="1:11">
      <c r="A20">
        <v>46</v>
      </c>
      <c r="B20" t="s">
        <v>1510</v>
      </c>
    </row>
    <row r="21" spans="1:11">
      <c r="A21">
        <v>46</v>
      </c>
      <c r="B21" t="s">
        <v>1511</v>
      </c>
    </row>
    <row r="22" spans="1:11">
      <c r="A22">
        <v>46</v>
      </c>
      <c r="B22" t="s">
        <v>1512</v>
      </c>
    </row>
    <row r="23" spans="1:11">
      <c r="A23">
        <v>46</v>
      </c>
      <c r="B23" t="s">
        <v>1513</v>
      </c>
    </row>
    <row r="24" spans="1:11">
      <c r="A24">
        <v>46</v>
      </c>
      <c r="B24" t="s">
        <v>1514</v>
      </c>
    </row>
    <row r="25" spans="1:11">
      <c r="A25">
        <v>46</v>
      </c>
      <c r="B25" t="s">
        <v>1515</v>
      </c>
    </row>
    <row r="26" spans="1:11">
      <c r="A26">
        <v>46</v>
      </c>
      <c r="B26" t="s">
        <v>1516</v>
      </c>
    </row>
    <row r="27" spans="1:11">
      <c r="A27">
        <v>46</v>
      </c>
      <c r="B27" t="s">
        <v>1517</v>
      </c>
    </row>
    <row r="28" spans="1:11">
      <c r="A28">
        <v>46</v>
      </c>
      <c r="B28" t="s">
        <v>1518</v>
      </c>
    </row>
    <row r="29" spans="1:11">
      <c r="A29">
        <v>46</v>
      </c>
      <c r="B29" t="s">
        <v>1519</v>
      </c>
    </row>
    <row r="30" spans="1:11">
      <c r="A30">
        <v>46</v>
      </c>
      <c r="B30" t="s">
        <v>1520</v>
      </c>
    </row>
    <row r="31" spans="1:11">
      <c r="A31">
        <v>46</v>
      </c>
      <c r="B31" t="s">
        <v>1521</v>
      </c>
    </row>
    <row r="32" spans="1:11">
      <c r="A32">
        <v>46</v>
      </c>
      <c r="B32" t="s">
        <v>1522</v>
      </c>
    </row>
    <row r="33" spans="1:2">
      <c r="A33">
        <v>46</v>
      </c>
      <c r="B33" t="s">
        <v>1523</v>
      </c>
    </row>
    <row r="34" spans="1:2">
      <c r="A34">
        <v>46</v>
      </c>
      <c r="B34" t="s">
        <v>1524</v>
      </c>
    </row>
    <row r="35" spans="1:2">
      <c r="A35">
        <v>46</v>
      </c>
      <c r="B35" t="s">
        <v>1525</v>
      </c>
    </row>
    <row r="36" spans="1:2">
      <c r="A36">
        <v>46</v>
      </c>
      <c r="B36" t="s">
        <v>1526</v>
      </c>
    </row>
    <row r="37" spans="1:2">
      <c r="A37">
        <v>46</v>
      </c>
      <c r="B37" t="s">
        <v>1527</v>
      </c>
    </row>
    <row r="38" spans="1:2">
      <c r="A38">
        <v>46</v>
      </c>
      <c r="B38" t="s">
        <v>1528</v>
      </c>
    </row>
    <row r="39" spans="1:2">
      <c r="A39">
        <v>46</v>
      </c>
      <c r="B39" t="s">
        <v>1529</v>
      </c>
    </row>
    <row r="40" spans="1:2">
      <c r="A40">
        <v>46</v>
      </c>
      <c r="B40" t="s">
        <v>1530</v>
      </c>
    </row>
    <row r="41" spans="1:2">
      <c r="A41">
        <v>46</v>
      </c>
      <c r="B41" t="s">
        <v>1531</v>
      </c>
    </row>
    <row r="42" spans="1:2">
      <c r="A42">
        <v>46</v>
      </c>
      <c r="B42" t="s">
        <v>1532</v>
      </c>
    </row>
    <row r="43" spans="1:2">
      <c r="A43">
        <v>46</v>
      </c>
      <c r="B43" t="s">
        <v>1533</v>
      </c>
    </row>
    <row r="44" spans="1:2">
      <c r="A44">
        <v>46</v>
      </c>
      <c r="B44" t="s">
        <v>1534</v>
      </c>
    </row>
    <row r="45" spans="1:2">
      <c r="A45">
        <v>46</v>
      </c>
      <c r="B45" t="s">
        <v>1535</v>
      </c>
    </row>
    <row r="46" spans="1:2">
      <c r="A46">
        <v>46</v>
      </c>
      <c r="B46" t="s">
        <v>1536</v>
      </c>
    </row>
    <row r="47" spans="1:2">
      <c r="A47">
        <v>46</v>
      </c>
      <c r="B47" t="s">
        <v>1537</v>
      </c>
    </row>
    <row r="48" spans="1:2">
      <c r="A48">
        <v>46</v>
      </c>
      <c r="B48" t="s">
        <v>1538</v>
      </c>
    </row>
    <row r="49" spans="1:2">
      <c r="A49">
        <v>46</v>
      </c>
      <c r="B49" t="s">
        <v>1539</v>
      </c>
    </row>
    <row r="50" spans="1:2">
      <c r="A50">
        <v>46</v>
      </c>
      <c r="B50" t="s">
        <v>1540</v>
      </c>
    </row>
    <row r="51" spans="1:2">
      <c r="A51">
        <v>46</v>
      </c>
      <c r="B51" t="s">
        <v>1541</v>
      </c>
    </row>
    <row r="52" spans="1:2">
      <c r="A52">
        <v>46</v>
      </c>
      <c r="B52" t="s">
        <v>1542</v>
      </c>
    </row>
    <row r="53" spans="1:2">
      <c r="A53">
        <v>46</v>
      </c>
      <c r="B53" t="s">
        <v>1543</v>
      </c>
    </row>
    <row r="54" spans="1:2">
      <c r="A54">
        <v>46</v>
      </c>
      <c r="B54" t="s">
        <v>1544</v>
      </c>
    </row>
    <row r="55" spans="1:2">
      <c r="A55">
        <v>46</v>
      </c>
      <c r="B55" t="s">
        <v>1545</v>
      </c>
    </row>
    <row r="56" spans="1:2">
      <c r="A56">
        <v>46</v>
      </c>
      <c r="B56" t="s">
        <v>1546</v>
      </c>
    </row>
    <row r="57" spans="1:2">
      <c r="A57">
        <v>46</v>
      </c>
      <c r="B57" t="s">
        <v>1547</v>
      </c>
    </row>
    <row r="58" spans="1:2">
      <c r="A58">
        <v>46</v>
      </c>
      <c r="B58" t="s">
        <v>1548</v>
      </c>
    </row>
    <row r="59" spans="1:2">
      <c r="A59">
        <v>46</v>
      </c>
      <c r="B59" t="s">
        <v>1549</v>
      </c>
    </row>
    <row r="60" spans="1:2">
      <c r="A60">
        <v>46</v>
      </c>
      <c r="B60" t="s">
        <v>1550</v>
      </c>
    </row>
    <row r="61" spans="1:2">
      <c r="A61">
        <v>46</v>
      </c>
      <c r="B61" t="s">
        <v>1551</v>
      </c>
    </row>
    <row r="62" spans="1:2">
      <c r="A62">
        <v>46</v>
      </c>
      <c r="B62" t="s">
        <v>1552</v>
      </c>
    </row>
    <row r="63" spans="1:2">
      <c r="A63">
        <v>46</v>
      </c>
      <c r="B63" t="s">
        <v>1553</v>
      </c>
    </row>
    <row r="64" spans="1:2">
      <c r="A64">
        <v>46</v>
      </c>
      <c r="B64" t="s">
        <v>1554</v>
      </c>
    </row>
    <row r="65" spans="1:2">
      <c r="A65">
        <v>46</v>
      </c>
      <c r="B65" t="s">
        <v>1555</v>
      </c>
    </row>
    <row r="66" spans="1:2">
      <c r="A66">
        <v>46</v>
      </c>
      <c r="B66" t="s">
        <v>1556</v>
      </c>
    </row>
    <row r="67" spans="1:2">
      <c r="A67">
        <v>46</v>
      </c>
      <c r="B67" t="s">
        <v>1557</v>
      </c>
    </row>
    <row r="68" spans="1:2">
      <c r="A68">
        <v>46</v>
      </c>
      <c r="B68" t="s">
        <v>1558</v>
      </c>
    </row>
    <row r="69" spans="1:2">
      <c r="A69">
        <v>46</v>
      </c>
      <c r="B69" t="s">
        <v>1559</v>
      </c>
    </row>
    <row r="70" spans="1:2">
      <c r="A70">
        <v>46</v>
      </c>
      <c r="B70" t="s">
        <v>1560</v>
      </c>
    </row>
    <row r="71" spans="1:2">
      <c r="A71">
        <v>46</v>
      </c>
      <c r="B71" t="s">
        <v>1561</v>
      </c>
    </row>
    <row r="72" spans="1:2">
      <c r="A72">
        <v>46</v>
      </c>
      <c r="B72" t="s">
        <v>1562</v>
      </c>
    </row>
    <row r="73" spans="1:2">
      <c r="A73">
        <v>46</v>
      </c>
      <c r="B73" t="s">
        <v>1563</v>
      </c>
    </row>
    <row r="74" spans="1:2">
      <c r="A74">
        <v>46</v>
      </c>
      <c r="B74" t="s">
        <v>1564</v>
      </c>
    </row>
    <row r="75" spans="1:2">
      <c r="A75">
        <v>46</v>
      </c>
      <c r="B75" t="s">
        <v>1565</v>
      </c>
    </row>
    <row r="76" spans="1:2">
      <c r="A76">
        <v>46</v>
      </c>
      <c r="B76" t="s">
        <v>1566</v>
      </c>
    </row>
    <row r="77" spans="1:2">
      <c r="A77">
        <v>46</v>
      </c>
      <c r="B77" t="s">
        <v>1567</v>
      </c>
    </row>
    <row r="78" spans="1:2">
      <c r="A78">
        <v>46</v>
      </c>
      <c r="B78" t="s">
        <v>1568</v>
      </c>
    </row>
    <row r="79" spans="1:2">
      <c r="A79">
        <v>46</v>
      </c>
      <c r="B79" t="s">
        <v>1569</v>
      </c>
    </row>
    <row r="80" spans="1:2">
      <c r="A80">
        <v>46</v>
      </c>
      <c r="B80" t="s">
        <v>1570</v>
      </c>
    </row>
    <row r="81" spans="1:2">
      <c r="A81">
        <v>46</v>
      </c>
      <c r="B81" t="s">
        <v>1571</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7"/>
  <sheetViews>
    <sheetView workbookViewId="0"/>
  </sheetViews>
  <sheetFormatPr baseColWidth="10" defaultColWidth="8.7265625" defaultRowHeight="12.5"/>
  <cols>
    <col min="1" max="1" width="13" customWidth="1"/>
    <col min="2" max="2" width="41" customWidth="1"/>
    <col min="3" max="7" width="13" customWidth="1"/>
  </cols>
  <sheetData>
    <row r="1" spans="1:7">
      <c r="A1" t="s">
        <v>1174</v>
      </c>
      <c r="B1" t="s">
        <v>820</v>
      </c>
      <c r="C1" t="s">
        <v>1572</v>
      </c>
      <c r="D1" t="s">
        <v>1573</v>
      </c>
      <c r="E1" t="s">
        <v>1574</v>
      </c>
      <c r="F1" t="s">
        <v>1575</v>
      </c>
      <c r="G1" t="s">
        <v>1576</v>
      </c>
    </row>
    <row r="2" spans="1:7">
      <c r="A2">
        <v>46</v>
      </c>
      <c r="B2" t="s">
        <v>1577</v>
      </c>
      <c r="C2">
        <v>1499999923.28</v>
      </c>
      <c r="D2">
        <v>19374737.319999982</v>
      </c>
      <c r="E2">
        <v>21727736.630000021</v>
      </c>
      <c r="F2">
        <v>41102473.950000003</v>
      </c>
      <c r="G2">
        <v>0.16062113873252071</v>
      </c>
    </row>
    <row r="3" spans="1:7">
      <c r="A3">
        <v>46</v>
      </c>
      <c r="B3" t="s">
        <v>1578</v>
      </c>
      <c r="C3">
        <v>1499999995.4900002</v>
      </c>
      <c r="D3">
        <v>20370190.79000001</v>
      </c>
      <c r="E3">
        <v>23939793.109999996</v>
      </c>
      <c r="F3">
        <v>44309983.900000006</v>
      </c>
      <c r="G3">
        <v>0.17557005465155795</v>
      </c>
    </row>
    <row r="4" spans="1:7">
      <c r="A4">
        <v>46</v>
      </c>
      <c r="B4" t="s">
        <v>1579</v>
      </c>
      <c r="C4">
        <v>1499999997.3900001</v>
      </c>
      <c r="D4">
        <v>21044779.159999963</v>
      </c>
      <c r="E4">
        <v>28712971.900000039</v>
      </c>
      <c r="F4">
        <v>49757751.060000002</v>
      </c>
      <c r="G4">
        <v>0.20699894979803357</v>
      </c>
    </row>
    <row r="5" spans="1:7">
      <c r="A5">
        <v>46</v>
      </c>
      <c r="B5" t="s">
        <v>1580</v>
      </c>
      <c r="C5">
        <v>1499999964.6400001</v>
      </c>
      <c r="D5">
        <v>19506347.870000023</v>
      </c>
      <c r="E5">
        <v>26094207.809999976</v>
      </c>
      <c r="F5">
        <v>45600555.68</v>
      </c>
      <c r="G5">
        <v>0.18989447174188578</v>
      </c>
    </row>
    <row r="6" spans="1:7">
      <c r="A6">
        <v>46</v>
      </c>
      <c r="B6" t="s">
        <v>1581</v>
      </c>
      <c r="C6">
        <v>1499999975.8599999</v>
      </c>
      <c r="D6">
        <v>20360702.900000017</v>
      </c>
      <c r="E6">
        <v>25308348.709999982</v>
      </c>
      <c r="F6">
        <v>45669051.609999999</v>
      </c>
      <c r="G6">
        <v>0.18469604555717556</v>
      </c>
    </row>
    <row r="7" spans="1:7">
      <c r="A7">
        <v>46</v>
      </c>
      <c r="B7" t="s">
        <v>1582</v>
      </c>
      <c r="C7">
        <v>1499999963.2</v>
      </c>
      <c r="D7">
        <v>20293673.04999999</v>
      </c>
      <c r="E7">
        <v>25822303.800000012</v>
      </c>
      <c r="F7">
        <v>46115976.850000001</v>
      </c>
      <c r="G7">
        <v>0.18809928597537995</v>
      </c>
    </row>
    <row r="8" spans="1:7">
      <c r="A8">
        <v>46</v>
      </c>
      <c r="B8" t="s">
        <v>1583</v>
      </c>
      <c r="C8">
        <v>1499999991.78</v>
      </c>
      <c r="D8">
        <v>20325970.880000006</v>
      </c>
      <c r="E8">
        <v>19838584.379999992</v>
      </c>
      <c r="F8">
        <v>40164555.259999998</v>
      </c>
      <c r="G8">
        <v>0.14765809945993391</v>
      </c>
    </row>
    <row r="9" spans="1:7">
      <c r="A9">
        <v>46</v>
      </c>
      <c r="B9" t="s">
        <v>1584</v>
      </c>
      <c r="C9">
        <v>1499999977.1099999</v>
      </c>
      <c r="D9">
        <v>19244445.559999991</v>
      </c>
      <c r="E9">
        <v>13880555.70000001</v>
      </c>
      <c r="F9">
        <v>33125001.260000002</v>
      </c>
      <c r="G9">
        <v>0.10556355130553963</v>
      </c>
    </row>
    <row r="10" spans="1:7">
      <c r="A10">
        <v>46</v>
      </c>
      <c r="B10" t="s">
        <v>1585</v>
      </c>
      <c r="C10">
        <v>1463993165.4200001</v>
      </c>
      <c r="D10">
        <v>21610902.74000001</v>
      </c>
      <c r="E10">
        <v>23414758.059999987</v>
      </c>
      <c r="F10">
        <v>45025660.799999997</v>
      </c>
      <c r="G10">
        <v>0.17591080501103262</v>
      </c>
    </row>
    <row r="11" spans="1:7">
      <c r="A11">
        <v>46</v>
      </c>
      <c r="B11" t="s">
        <v>1586</v>
      </c>
      <c r="C11">
        <v>1415199741.3900001</v>
      </c>
      <c r="D11">
        <v>19741834.020000007</v>
      </c>
      <c r="E11">
        <v>19392629.189999994</v>
      </c>
      <c r="F11">
        <v>39134463.210000001</v>
      </c>
      <c r="G11">
        <v>0.15259309918473762</v>
      </c>
    </row>
    <row r="12" spans="1:7">
      <c r="A12">
        <v>46</v>
      </c>
      <c r="B12" t="s">
        <v>1587</v>
      </c>
      <c r="C12">
        <v>1372585564.24</v>
      </c>
      <c r="D12">
        <v>19963654.280000012</v>
      </c>
      <c r="E12">
        <v>17459573.789999988</v>
      </c>
      <c r="F12">
        <v>37423228.07</v>
      </c>
      <c r="G12">
        <v>0.14240355113180758</v>
      </c>
    </row>
    <row r="13" spans="1:7">
      <c r="A13">
        <v>46</v>
      </c>
      <c r="B13" t="s">
        <v>1588</v>
      </c>
      <c r="C13">
        <v>1331663596.5</v>
      </c>
      <c r="D13">
        <v>19623877.259999998</v>
      </c>
      <c r="E13">
        <v>18772317.310000002</v>
      </c>
      <c r="F13">
        <v>38396194.57</v>
      </c>
      <c r="G13">
        <v>0.1566442102190323</v>
      </c>
    </row>
    <row r="14" spans="1:7">
      <c r="A14">
        <v>46</v>
      </c>
      <c r="B14" t="s">
        <v>1589</v>
      </c>
      <c r="C14">
        <v>1288936809.78</v>
      </c>
      <c r="D14">
        <v>18759330.370000001</v>
      </c>
      <c r="E14">
        <v>18069214.739999998</v>
      </c>
      <c r="F14">
        <v>36828545.109999999</v>
      </c>
      <c r="G14">
        <v>0.15584119612741465</v>
      </c>
    </row>
    <row r="15" spans="1:7">
      <c r="A15">
        <v>46</v>
      </c>
      <c r="B15" t="s">
        <v>1590</v>
      </c>
      <c r="C15">
        <v>1247253555.3499999</v>
      </c>
      <c r="D15">
        <v>17415030.32000003</v>
      </c>
      <c r="E15">
        <v>16977081.629999973</v>
      </c>
      <c r="F15">
        <v>34392111.950000003</v>
      </c>
      <c r="G15">
        <v>0.15164890824229493</v>
      </c>
    </row>
    <row r="16" spans="1:7">
      <c r="A16">
        <v>46</v>
      </c>
      <c r="B16" t="s">
        <v>1591</v>
      </c>
      <c r="C16">
        <v>1209511439</v>
      </c>
      <c r="D16">
        <v>17852980.830000017</v>
      </c>
      <c r="E16">
        <v>19040154.39999998</v>
      </c>
      <c r="F16">
        <v>36893135.229999997</v>
      </c>
      <c r="G16">
        <v>0.17337729504948762</v>
      </c>
    </row>
    <row r="17" spans="1:7">
      <c r="A17">
        <v>46</v>
      </c>
      <c r="B17" t="s">
        <v>1592</v>
      </c>
      <c r="C17">
        <v>1168522209.0599999</v>
      </c>
      <c r="D17">
        <v>17116624.990000017</v>
      </c>
      <c r="E17">
        <v>16015763.019999987</v>
      </c>
      <c r="F17">
        <v>33132388.010000002</v>
      </c>
      <c r="G17">
        <v>0.1526229363048528</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22"/>
  <sheetViews>
    <sheetView topLeftCell="F1" workbookViewId="0">
      <selection activeCell="M24" sqref="M24"/>
    </sheetView>
  </sheetViews>
  <sheetFormatPr baseColWidth="10" defaultColWidth="8.7265625" defaultRowHeight="12.5"/>
  <cols>
    <col min="1" max="1" width="13" customWidth="1"/>
    <col min="2"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1593</v>
      </c>
      <c r="B1" t="s">
        <v>1594</v>
      </c>
      <c r="C1" t="s">
        <v>1595</v>
      </c>
      <c r="D1" t="s">
        <v>258</v>
      </c>
      <c r="E1" t="s">
        <v>1596</v>
      </c>
      <c r="F1" t="s">
        <v>387</v>
      </c>
      <c r="G1" t="s">
        <v>238</v>
      </c>
      <c r="H1" t="s">
        <v>1597</v>
      </c>
      <c r="I1" t="s">
        <v>385</v>
      </c>
      <c r="J1" t="s">
        <v>1598</v>
      </c>
      <c r="K1" t="s">
        <v>386</v>
      </c>
      <c r="L1" t="s">
        <v>388</v>
      </c>
      <c r="M1" t="s">
        <v>1599</v>
      </c>
      <c r="N1" t="s">
        <v>1600</v>
      </c>
      <c r="O1" t="s">
        <v>1601</v>
      </c>
      <c r="P1" t="s">
        <v>1602</v>
      </c>
      <c r="Q1" t="s">
        <v>1603</v>
      </c>
      <c r="R1" t="s">
        <v>1604</v>
      </c>
      <c r="S1" t="s">
        <v>1605</v>
      </c>
    </row>
    <row r="2" spans="1:19">
      <c r="A2">
        <v>46</v>
      </c>
      <c r="B2" t="s">
        <v>104</v>
      </c>
      <c r="C2" t="s">
        <v>1606</v>
      </c>
      <c r="D2" t="s">
        <v>1607</v>
      </c>
      <c r="E2" t="s">
        <v>1608</v>
      </c>
      <c r="F2" t="s">
        <v>1609</v>
      </c>
      <c r="G2" t="s">
        <v>1610</v>
      </c>
      <c r="H2" t="s">
        <v>1611</v>
      </c>
      <c r="I2" t="s">
        <v>807</v>
      </c>
      <c r="J2" t="s">
        <v>1612</v>
      </c>
      <c r="K2" t="s">
        <v>1612</v>
      </c>
      <c r="L2" t="s">
        <v>1613</v>
      </c>
      <c r="M2" t="s">
        <v>1614</v>
      </c>
      <c r="N2" t="s">
        <v>1615</v>
      </c>
      <c r="O2" t="s">
        <v>1615</v>
      </c>
      <c r="P2" t="s">
        <v>1616</v>
      </c>
      <c r="Q2" t="s">
        <v>1613</v>
      </c>
      <c r="S2" t="s">
        <v>1183</v>
      </c>
    </row>
    <row r="3" spans="1:19">
      <c r="A3">
        <v>46</v>
      </c>
      <c r="B3" t="s">
        <v>1617</v>
      </c>
      <c r="C3" t="s">
        <v>1618</v>
      </c>
      <c r="D3" t="s">
        <v>1619</v>
      </c>
      <c r="E3" t="s">
        <v>1620</v>
      </c>
      <c r="F3" t="s">
        <v>1609</v>
      </c>
      <c r="G3" t="s">
        <v>1613</v>
      </c>
      <c r="H3" t="s">
        <v>1621</v>
      </c>
      <c r="I3" t="s">
        <v>1621</v>
      </c>
      <c r="J3" t="s">
        <v>1622</v>
      </c>
      <c r="K3" t="s">
        <v>1622</v>
      </c>
      <c r="L3" t="s">
        <v>1613</v>
      </c>
      <c r="M3" t="s">
        <v>1623</v>
      </c>
      <c r="N3" t="s">
        <v>1624</v>
      </c>
      <c r="O3" t="s">
        <v>1624</v>
      </c>
      <c r="P3" t="s">
        <v>1625</v>
      </c>
      <c r="Q3" t="s">
        <v>1613</v>
      </c>
      <c r="S3" t="s">
        <v>1183</v>
      </c>
    </row>
    <row r="4" spans="1:19">
      <c r="A4">
        <v>46</v>
      </c>
      <c r="B4" t="s">
        <v>1626</v>
      </c>
      <c r="C4" t="s">
        <v>1618</v>
      </c>
      <c r="D4" t="s">
        <v>35</v>
      </c>
      <c r="E4" t="s">
        <v>1620</v>
      </c>
      <c r="F4" t="s">
        <v>1609</v>
      </c>
      <c r="G4" t="s">
        <v>1613</v>
      </c>
      <c r="H4" t="s">
        <v>35</v>
      </c>
      <c r="I4" t="s">
        <v>1621</v>
      </c>
      <c r="J4" t="s">
        <v>35</v>
      </c>
      <c r="K4" t="s">
        <v>1622</v>
      </c>
      <c r="L4" t="s">
        <v>1613</v>
      </c>
      <c r="M4" t="s">
        <v>35</v>
      </c>
      <c r="N4" t="s">
        <v>1624</v>
      </c>
      <c r="O4" t="s">
        <v>1624</v>
      </c>
      <c r="P4" t="s">
        <v>1625</v>
      </c>
      <c r="Q4" t="s">
        <v>1613</v>
      </c>
      <c r="S4" t="s">
        <v>1183</v>
      </c>
    </row>
    <row r="5" spans="1:19">
      <c r="A5">
        <v>46</v>
      </c>
      <c r="B5" t="s">
        <v>252</v>
      </c>
      <c r="C5" t="s">
        <v>35</v>
      </c>
      <c r="D5" t="s">
        <v>35</v>
      </c>
      <c r="E5" t="s">
        <v>35</v>
      </c>
      <c r="F5" t="s">
        <v>35</v>
      </c>
      <c r="G5" t="s">
        <v>35</v>
      </c>
      <c r="H5" t="s">
        <v>35</v>
      </c>
      <c r="I5" t="s">
        <v>35</v>
      </c>
      <c r="J5" t="s">
        <v>35</v>
      </c>
      <c r="K5" t="s">
        <v>35</v>
      </c>
      <c r="L5" t="s">
        <v>35</v>
      </c>
      <c r="M5" t="s">
        <v>1627</v>
      </c>
      <c r="N5" t="s">
        <v>35</v>
      </c>
      <c r="O5" t="s">
        <v>35</v>
      </c>
      <c r="P5" t="s">
        <v>35</v>
      </c>
      <c r="Q5" t="s">
        <v>35</v>
      </c>
      <c r="S5" t="s">
        <v>1183</v>
      </c>
    </row>
    <row r="6" spans="1:19">
      <c r="A6">
        <v>46</v>
      </c>
      <c r="B6" t="s">
        <v>804</v>
      </c>
      <c r="C6" t="s">
        <v>35</v>
      </c>
      <c r="D6" t="s">
        <v>35</v>
      </c>
      <c r="E6" t="s">
        <v>35</v>
      </c>
      <c r="F6" t="s">
        <v>35</v>
      </c>
      <c r="G6" t="s">
        <v>35</v>
      </c>
      <c r="H6" t="s">
        <v>35</v>
      </c>
      <c r="I6" t="s">
        <v>35</v>
      </c>
      <c r="J6" t="s">
        <v>35</v>
      </c>
      <c r="K6" t="s">
        <v>35</v>
      </c>
      <c r="L6" t="s">
        <v>35</v>
      </c>
      <c r="M6" t="s">
        <v>1627</v>
      </c>
      <c r="N6" t="s">
        <v>35</v>
      </c>
      <c r="O6" t="s">
        <v>35</v>
      </c>
      <c r="P6" t="s">
        <v>35</v>
      </c>
      <c r="Q6" t="s">
        <v>35</v>
      </c>
      <c r="S6" t="s">
        <v>1183</v>
      </c>
    </row>
    <row r="7" spans="1:19">
      <c r="A7">
        <v>46</v>
      </c>
      <c r="B7" t="s">
        <v>753</v>
      </c>
      <c r="C7" t="s">
        <v>1628</v>
      </c>
      <c r="D7" t="s">
        <v>35</v>
      </c>
      <c r="E7" t="s">
        <v>1620</v>
      </c>
      <c r="F7" t="s">
        <v>1609</v>
      </c>
      <c r="G7" t="s">
        <v>1613</v>
      </c>
      <c r="H7" t="s">
        <v>35</v>
      </c>
      <c r="I7" t="s">
        <v>1611</v>
      </c>
      <c r="J7" t="s">
        <v>35</v>
      </c>
      <c r="K7" t="s">
        <v>1612</v>
      </c>
      <c r="L7" t="s">
        <v>1613</v>
      </c>
      <c r="M7" t="s">
        <v>35</v>
      </c>
      <c r="N7" t="s">
        <v>1629</v>
      </c>
      <c r="O7" t="s">
        <v>1629</v>
      </c>
      <c r="P7" t="s">
        <v>1616</v>
      </c>
      <c r="Q7" t="s">
        <v>1613</v>
      </c>
      <c r="S7" t="s">
        <v>1183</v>
      </c>
    </row>
    <row r="8" spans="1:19">
      <c r="A8">
        <v>46</v>
      </c>
      <c r="B8" t="s">
        <v>752</v>
      </c>
      <c r="C8" t="s">
        <v>1628</v>
      </c>
      <c r="D8" t="s">
        <v>1630</v>
      </c>
      <c r="E8" t="s">
        <v>1620</v>
      </c>
      <c r="F8" t="s">
        <v>1609</v>
      </c>
      <c r="G8" t="s">
        <v>1613</v>
      </c>
      <c r="H8" t="s">
        <v>35</v>
      </c>
      <c r="I8" t="s">
        <v>35</v>
      </c>
      <c r="J8" t="s">
        <v>35</v>
      </c>
      <c r="K8" t="s">
        <v>35</v>
      </c>
      <c r="L8" t="s">
        <v>35</v>
      </c>
      <c r="M8" t="s">
        <v>35</v>
      </c>
      <c r="N8" t="s">
        <v>35</v>
      </c>
      <c r="O8" t="s">
        <v>35</v>
      </c>
      <c r="P8" t="s">
        <v>35</v>
      </c>
      <c r="Q8" t="s">
        <v>35</v>
      </c>
      <c r="S8" t="s">
        <v>1183</v>
      </c>
    </row>
    <row r="9" spans="1:19">
      <c r="A9">
        <v>46</v>
      </c>
      <c r="B9" t="s">
        <v>528</v>
      </c>
      <c r="C9" t="s">
        <v>1631</v>
      </c>
      <c r="D9" t="s">
        <v>1619</v>
      </c>
      <c r="E9" t="s">
        <v>1620</v>
      </c>
      <c r="F9" t="s">
        <v>1609</v>
      </c>
      <c r="G9" t="s">
        <v>1613</v>
      </c>
      <c r="H9" t="s">
        <v>1632</v>
      </c>
      <c r="I9" t="s">
        <v>1632</v>
      </c>
      <c r="J9" t="s">
        <v>1622</v>
      </c>
      <c r="K9" t="s">
        <v>1622</v>
      </c>
      <c r="L9" t="s">
        <v>1613</v>
      </c>
      <c r="M9" t="s">
        <v>1623</v>
      </c>
      <c r="N9" t="s">
        <v>1629</v>
      </c>
      <c r="O9" t="s">
        <v>35</v>
      </c>
      <c r="P9" t="s">
        <v>1616</v>
      </c>
      <c r="Q9" t="s">
        <v>1613</v>
      </c>
      <c r="S9" t="s">
        <v>1183</v>
      </c>
    </row>
    <row r="10" spans="1:19">
      <c r="A10">
        <v>46</v>
      </c>
      <c r="B10" t="s">
        <v>712</v>
      </c>
      <c r="C10" t="s">
        <v>35</v>
      </c>
      <c r="D10" t="s">
        <v>806</v>
      </c>
      <c r="E10" t="s">
        <v>35</v>
      </c>
      <c r="F10" t="s">
        <v>35</v>
      </c>
      <c r="G10" t="s">
        <v>1613</v>
      </c>
      <c r="H10" t="s">
        <v>1611</v>
      </c>
      <c r="I10" t="s">
        <v>1611</v>
      </c>
      <c r="J10" t="s">
        <v>1612</v>
      </c>
      <c r="K10" t="s">
        <v>1612</v>
      </c>
      <c r="L10" t="s">
        <v>1613</v>
      </c>
      <c r="M10" t="s">
        <v>1614</v>
      </c>
      <c r="N10" t="s">
        <v>1615</v>
      </c>
      <c r="O10" t="s">
        <v>35</v>
      </c>
      <c r="P10" t="s">
        <v>1616</v>
      </c>
      <c r="Q10" t="s">
        <v>1613</v>
      </c>
      <c r="S10" t="s">
        <v>1183</v>
      </c>
    </row>
    <row r="11" spans="1:19">
      <c r="A11">
        <v>46</v>
      </c>
      <c r="B11" t="s">
        <v>392</v>
      </c>
      <c r="C11" t="s">
        <v>35</v>
      </c>
      <c r="D11" t="s">
        <v>35</v>
      </c>
      <c r="E11" t="s">
        <v>35</v>
      </c>
      <c r="F11" t="s">
        <v>35</v>
      </c>
      <c r="G11" t="s">
        <v>35</v>
      </c>
      <c r="H11" t="s">
        <v>35</v>
      </c>
      <c r="I11" t="s">
        <v>35</v>
      </c>
      <c r="J11" t="s">
        <v>35</v>
      </c>
      <c r="K11" t="s">
        <v>35</v>
      </c>
      <c r="L11" t="s">
        <v>35</v>
      </c>
      <c r="M11" t="s">
        <v>1627</v>
      </c>
      <c r="N11" t="s">
        <v>35</v>
      </c>
      <c r="O11" t="s">
        <v>35</v>
      </c>
      <c r="P11" t="s">
        <v>35</v>
      </c>
      <c r="Q11" t="s">
        <v>35</v>
      </c>
      <c r="S11" t="s">
        <v>1183</v>
      </c>
    </row>
    <row r="12" spans="1:19">
      <c r="A12">
        <v>46</v>
      </c>
      <c r="B12" t="s">
        <v>1638</v>
      </c>
      <c r="C12" t="s">
        <v>1639</v>
      </c>
      <c r="D12" t="s">
        <v>1640</v>
      </c>
      <c r="E12" t="s">
        <v>1641</v>
      </c>
      <c r="F12" t="s">
        <v>1642</v>
      </c>
      <c r="G12" t="s">
        <v>1643</v>
      </c>
      <c r="H12" t="s">
        <v>1644</v>
      </c>
      <c r="I12" t="s">
        <v>1645</v>
      </c>
      <c r="J12" t="s">
        <v>1646</v>
      </c>
      <c r="K12" t="s">
        <v>1647</v>
      </c>
      <c r="L12" t="s">
        <v>1648</v>
      </c>
      <c r="M12" t="s">
        <v>1649</v>
      </c>
      <c r="N12" t="s">
        <v>1650</v>
      </c>
      <c r="O12" t="s">
        <v>1651</v>
      </c>
      <c r="P12" t="s">
        <v>1652</v>
      </c>
      <c r="Q12" t="s">
        <v>1653</v>
      </c>
      <c r="R12" t="s">
        <v>1654</v>
      </c>
      <c r="S12" t="s">
        <v>1183</v>
      </c>
    </row>
    <row r="13" spans="1:19">
      <c r="A13">
        <v>46</v>
      </c>
      <c r="B13" t="s">
        <v>194</v>
      </c>
      <c r="C13" t="s">
        <v>1633</v>
      </c>
      <c r="D13" t="s">
        <v>1634</v>
      </c>
      <c r="E13" t="s">
        <v>1620</v>
      </c>
      <c r="F13" t="s">
        <v>35</v>
      </c>
      <c r="G13" t="s">
        <v>1613</v>
      </c>
      <c r="H13" t="s">
        <v>35</v>
      </c>
      <c r="I13" t="s">
        <v>807</v>
      </c>
      <c r="J13" t="s">
        <v>1612</v>
      </c>
      <c r="K13" t="s">
        <v>1612</v>
      </c>
      <c r="L13" t="s">
        <v>1613</v>
      </c>
      <c r="M13" t="s">
        <v>1614</v>
      </c>
      <c r="N13" t="s">
        <v>35</v>
      </c>
      <c r="O13" t="s">
        <v>35</v>
      </c>
      <c r="P13" t="s">
        <v>35</v>
      </c>
      <c r="Q13" t="s">
        <v>35</v>
      </c>
      <c r="S13" t="s">
        <v>1183</v>
      </c>
    </row>
    <row r="14" spans="1:19">
      <c r="A14">
        <v>46</v>
      </c>
      <c r="B14" t="s">
        <v>110</v>
      </c>
      <c r="C14" t="s">
        <v>1606</v>
      </c>
      <c r="D14" t="s">
        <v>1607</v>
      </c>
      <c r="E14" t="s">
        <v>1608</v>
      </c>
      <c r="F14" t="s">
        <v>1609</v>
      </c>
      <c r="G14" t="s">
        <v>1610</v>
      </c>
      <c r="H14" t="s">
        <v>1611</v>
      </c>
      <c r="I14" t="s">
        <v>807</v>
      </c>
      <c r="J14" t="s">
        <v>1612</v>
      </c>
      <c r="K14" t="s">
        <v>1612</v>
      </c>
      <c r="L14" t="s">
        <v>1613</v>
      </c>
      <c r="M14" t="s">
        <v>35</v>
      </c>
      <c r="N14" t="s">
        <v>35</v>
      </c>
      <c r="O14" t="s">
        <v>35</v>
      </c>
      <c r="P14" t="s">
        <v>35</v>
      </c>
      <c r="Q14" t="s">
        <v>35</v>
      </c>
      <c r="S14" t="s">
        <v>1183</v>
      </c>
    </row>
    <row r="15" spans="1:19">
      <c r="A15">
        <v>46</v>
      </c>
      <c r="B15" t="s">
        <v>1635</v>
      </c>
      <c r="C15" t="s">
        <v>1606</v>
      </c>
      <c r="D15" t="s">
        <v>1607</v>
      </c>
      <c r="E15" t="s">
        <v>1608</v>
      </c>
      <c r="F15" t="s">
        <v>1609</v>
      </c>
      <c r="G15" t="s">
        <v>1610</v>
      </c>
      <c r="H15" t="s">
        <v>1611</v>
      </c>
      <c r="I15" t="s">
        <v>807</v>
      </c>
      <c r="J15" t="s">
        <v>1612</v>
      </c>
      <c r="K15" t="s">
        <v>1612</v>
      </c>
      <c r="L15" t="s">
        <v>1613</v>
      </c>
      <c r="M15" t="s">
        <v>1614</v>
      </c>
      <c r="N15" t="s">
        <v>1615</v>
      </c>
      <c r="O15" t="s">
        <v>1615</v>
      </c>
      <c r="P15" t="s">
        <v>1616</v>
      </c>
      <c r="Q15" t="s">
        <v>1613</v>
      </c>
      <c r="S15" t="s">
        <v>1183</v>
      </c>
    </row>
    <row r="16" spans="1:19">
      <c r="A16">
        <v>46</v>
      </c>
      <c r="B16" t="s">
        <v>738</v>
      </c>
      <c r="C16" t="s">
        <v>1633</v>
      </c>
      <c r="D16" t="s">
        <v>1634</v>
      </c>
      <c r="E16" t="s">
        <v>1620</v>
      </c>
      <c r="F16" t="s">
        <v>1609</v>
      </c>
      <c r="G16" t="s">
        <v>1613</v>
      </c>
      <c r="H16" t="s">
        <v>807</v>
      </c>
      <c r="I16" t="s">
        <v>1636</v>
      </c>
      <c r="J16" t="s">
        <v>1612</v>
      </c>
      <c r="K16" t="s">
        <v>1612</v>
      </c>
      <c r="L16" t="s">
        <v>1613</v>
      </c>
      <c r="M16" t="s">
        <v>1637</v>
      </c>
      <c r="N16" t="s">
        <v>1615</v>
      </c>
      <c r="O16" t="s">
        <v>1615</v>
      </c>
      <c r="P16" t="s">
        <v>1616</v>
      </c>
      <c r="Q16" t="s">
        <v>1613</v>
      </c>
      <c r="S16" t="s">
        <v>1183</v>
      </c>
    </row>
    <row r="17" spans="1:19">
      <c r="A17">
        <v>46</v>
      </c>
      <c r="B17" t="s">
        <v>760</v>
      </c>
      <c r="C17" t="s">
        <v>1183</v>
      </c>
      <c r="D17" t="s">
        <v>1183</v>
      </c>
      <c r="E17" t="s">
        <v>1183</v>
      </c>
      <c r="F17" t="s">
        <v>1183</v>
      </c>
      <c r="G17" t="s">
        <v>1183</v>
      </c>
      <c r="H17" t="s">
        <v>1183</v>
      </c>
      <c r="I17" t="s">
        <v>1183</v>
      </c>
      <c r="J17" t="s">
        <v>1183</v>
      </c>
      <c r="K17" t="s">
        <v>1183</v>
      </c>
      <c r="L17" t="s">
        <v>1183</v>
      </c>
      <c r="M17" t="s">
        <v>1183</v>
      </c>
      <c r="N17" t="s">
        <v>1183</v>
      </c>
      <c r="O17" t="s">
        <v>1183</v>
      </c>
      <c r="P17" t="s">
        <v>1183</v>
      </c>
      <c r="Q17" t="s">
        <v>1183</v>
      </c>
      <c r="S17" t="s">
        <v>796</v>
      </c>
    </row>
    <row r="18" spans="1:19">
      <c r="A18">
        <v>46</v>
      </c>
      <c r="B18" t="s">
        <v>761</v>
      </c>
      <c r="C18" t="s">
        <v>1183</v>
      </c>
      <c r="D18" t="s">
        <v>1183</v>
      </c>
      <c r="E18" t="s">
        <v>1183</v>
      </c>
      <c r="F18" t="s">
        <v>1183</v>
      </c>
      <c r="G18" t="s">
        <v>1183</v>
      </c>
      <c r="H18" t="s">
        <v>1183</v>
      </c>
      <c r="I18" t="s">
        <v>1183</v>
      </c>
      <c r="J18" t="s">
        <v>1183</v>
      </c>
      <c r="K18" t="s">
        <v>1183</v>
      </c>
      <c r="L18" t="s">
        <v>1183</v>
      </c>
      <c r="M18" t="s">
        <v>1183</v>
      </c>
      <c r="N18" t="s">
        <v>1183</v>
      </c>
      <c r="O18" t="s">
        <v>1183</v>
      </c>
      <c r="P18" t="s">
        <v>1183</v>
      </c>
      <c r="Q18" t="s">
        <v>1183</v>
      </c>
      <c r="S18" t="s">
        <v>797</v>
      </c>
    </row>
    <row r="19" spans="1:19">
      <c r="A19">
        <v>46</v>
      </c>
      <c r="B19" t="s">
        <v>762</v>
      </c>
      <c r="C19" t="s">
        <v>1183</v>
      </c>
      <c r="D19" t="s">
        <v>1183</v>
      </c>
      <c r="E19" t="s">
        <v>1183</v>
      </c>
      <c r="F19" t="s">
        <v>1183</v>
      </c>
      <c r="G19" t="s">
        <v>1183</v>
      </c>
      <c r="H19" t="s">
        <v>1183</v>
      </c>
      <c r="I19" t="s">
        <v>1183</v>
      </c>
      <c r="J19" t="s">
        <v>1183</v>
      </c>
      <c r="K19" t="s">
        <v>1183</v>
      </c>
      <c r="L19" t="s">
        <v>1183</v>
      </c>
      <c r="M19" t="s">
        <v>1183</v>
      </c>
      <c r="N19" t="s">
        <v>1183</v>
      </c>
      <c r="O19" t="s">
        <v>1183</v>
      </c>
      <c r="P19" t="s">
        <v>1183</v>
      </c>
      <c r="Q19" t="s">
        <v>1183</v>
      </c>
      <c r="S19" t="s">
        <v>798</v>
      </c>
    </row>
    <row r="20" spans="1:19">
      <c r="A20">
        <v>46</v>
      </c>
      <c r="B20" t="s">
        <v>763</v>
      </c>
      <c r="C20" t="s">
        <v>1183</v>
      </c>
      <c r="D20" t="s">
        <v>1183</v>
      </c>
      <c r="E20" t="s">
        <v>1183</v>
      </c>
      <c r="F20" t="s">
        <v>1183</v>
      </c>
      <c r="G20" t="s">
        <v>1183</v>
      </c>
      <c r="H20" t="s">
        <v>1183</v>
      </c>
      <c r="I20" t="s">
        <v>1183</v>
      </c>
      <c r="J20" t="s">
        <v>1183</v>
      </c>
      <c r="K20" t="s">
        <v>1183</v>
      </c>
      <c r="L20" t="s">
        <v>1183</v>
      </c>
      <c r="M20" t="s">
        <v>1183</v>
      </c>
      <c r="N20" t="s">
        <v>1183</v>
      </c>
      <c r="O20" t="s">
        <v>1183</v>
      </c>
      <c r="P20" t="s">
        <v>1183</v>
      </c>
      <c r="Q20" t="s">
        <v>1183</v>
      </c>
      <c r="S20" t="s">
        <v>799</v>
      </c>
    </row>
    <row r="21" spans="1:19">
      <c r="A21">
        <v>46</v>
      </c>
      <c r="B21" t="s">
        <v>764</v>
      </c>
      <c r="C21" t="s">
        <v>1183</v>
      </c>
      <c r="D21" t="s">
        <v>1183</v>
      </c>
      <c r="E21" t="s">
        <v>1183</v>
      </c>
      <c r="F21" t="s">
        <v>1183</v>
      </c>
      <c r="G21" t="s">
        <v>1183</v>
      </c>
      <c r="H21" t="s">
        <v>1183</v>
      </c>
      <c r="I21" t="s">
        <v>1183</v>
      </c>
      <c r="J21" t="s">
        <v>1183</v>
      </c>
      <c r="K21" t="s">
        <v>1183</v>
      </c>
      <c r="L21" t="s">
        <v>1183</v>
      </c>
      <c r="M21" t="s">
        <v>1183</v>
      </c>
      <c r="N21" t="s">
        <v>1183</v>
      </c>
      <c r="O21" t="s">
        <v>1183</v>
      </c>
      <c r="P21" t="s">
        <v>1183</v>
      </c>
      <c r="Q21" t="s">
        <v>1183</v>
      </c>
      <c r="S21" t="s">
        <v>800</v>
      </c>
    </row>
    <row r="22" spans="1:19">
      <c r="A22">
        <v>46</v>
      </c>
      <c r="B22" t="s">
        <v>759</v>
      </c>
      <c r="C22" t="s">
        <v>1183</v>
      </c>
      <c r="D22" t="s">
        <v>1183</v>
      </c>
      <c r="E22" t="s">
        <v>1183</v>
      </c>
      <c r="F22" t="s">
        <v>1183</v>
      </c>
      <c r="G22" t="s">
        <v>1183</v>
      </c>
      <c r="H22" t="s">
        <v>1183</v>
      </c>
      <c r="I22" t="s">
        <v>1183</v>
      </c>
      <c r="J22" t="s">
        <v>1183</v>
      </c>
      <c r="K22" t="s">
        <v>1183</v>
      </c>
      <c r="L22" t="s">
        <v>1183</v>
      </c>
      <c r="M22" t="s">
        <v>1183</v>
      </c>
      <c r="N22" t="s">
        <v>1183</v>
      </c>
      <c r="O22" t="s">
        <v>1183</v>
      </c>
      <c r="P22" t="s">
        <v>1183</v>
      </c>
      <c r="Q22" t="s">
        <v>1183</v>
      </c>
      <c r="S22" t="s">
        <v>795</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6"/>
  <sheetViews>
    <sheetView view="pageBreakPreview" zoomScale="90" zoomScaleNormal="100" zoomScaleSheetLayoutView="90" workbookViewId="0">
      <selection activeCell="B3" sqref="B3"/>
    </sheetView>
  </sheetViews>
  <sheetFormatPr baseColWidth="10" defaultColWidth="9.1796875" defaultRowHeight="12.5"/>
  <cols>
    <col min="1" max="1" width="1.1796875" style="18" customWidth="1"/>
    <col min="2" max="2" width="60.81640625" style="18" customWidth="1"/>
    <col min="3" max="3" width="14.81640625" style="18" customWidth="1"/>
    <col min="4" max="4" width="20.81640625" style="18" customWidth="1"/>
    <col min="5" max="5" width="4.81640625" style="18" customWidth="1"/>
    <col min="6" max="6" width="18.81640625" style="18" customWidth="1"/>
    <col min="7" max="7" width="4.81640625" style="18" customWidth="1"/>
    <col min="8" max="8" width="18.81640625" style="18" customWidth="1"/>
    <col min="9" max="9" width="4.81640625" style="18" customWidth="1"/>
    <col min="10" max="10" width="18.81640625" style="18" customWidth="1"/>
    <col min="11" max="11" width="1.1796875" style="18" customWidth="1"/>
    <col min="12" max="16384" width="9.1796875" style="18"/>
  </cols>
  <sheetData>
    <row r="1" spans="1:13" ht="6" customHeight="1">
      <c r="A1" s="112"/>
      <c r="B1" s="44"/>
      <c r="C1" s="44"/>
      <c r="D1" s="44"/>
      <c r="E1" s="44"/>
      <c r="F1" s="44"/>
      <c r="G1" s="44"/>
      <c r="H1" s="44"/>
      <c r="I1" s="44"/>
      <c r="J1" s="44"/>
      <c r="K1" s="113"/>
    </row>
    <row r="2" spans="1:13" ht="18">
      <c r="A2" s="114"/>
      <c r="B2" s="42" t="str">
        <f>'Cover Sheet'!B2</f>
        <v>SC Germany Consumer 2024-1</v>
      </c>
      <c r="C2" s="42"/>
      <c r="D2" s="115" t="str">
        <f>'Cover Sheet'!D2</f>
        <v>Calculation Date</v>
      </c>
      <c r="E2" s="116"/>
      <c r="F2" s="117">
        <f>'Cover Sheet'!F2</f>
        <v>45911</v>
      </c>
      <c r="G2" s="116"/>
      <c r="H2" s="116"/>
      <c r="I2" s="116"/>
      <c r="J2" s="118"/>
      <c r="K2" s="119"/>
      <c r="L2" s="142"/>
    </row>
    <row r="3" spans="1:13" ht="18">
      <c r="A3" s="114"/>
      <c r="B3" s="42" t="str">
        <f>'Cover Sheet'!B3</f>
        <v>Monthly Investor Report</v>
      </c>
      <c r="C3" s="42"/>
      <c r="D3" s="121" t="str">
        <f>'Cover Sheet'!D3</f>
        <v>Payment Date</v>
      </c>
      <c r="E3" s="122"/>
      <c r="F3" s="123">
        <f>'Cover Sheet'!F3</f>
        <v>45915</v>
      </c>
      <c r="G3" s="122"/>
      <c r="H3" s="122"/>
      <c r="I3" s="122"/>
      <c r="J3" s="124"/>
      <c r="K3" s="119"/>
      <c r="L3" s="143"/>
    </row>
    <row r="4" spans="1:13" ht="13">
      <c r="A4" s="114"/>
      <c r="B4" s="125"/>
      <c r="C4" s="99"/>
      <c r="D4" s="121" t="str">
        <f>'Cover Sheet'!D4</f>
        <v>Period  No</v>
      </c>
      <c r="E4" s="122"/>
      <c r="F4" s="126">
        <f>'Cover Sheet'!F4</f>
        <v>16</v>
      </c>
      <c r="G4" s="122"/>
      <c r="H4" s="127"/>
      <c r="I4" s="122"/>
      <c r="J4" s="128"/>
      <c r="K4" s="119"/>
      <c r="L4" s="142"/>
    </row>
    <row r="5" spans="1:13" ht="18">
      <c r="A5" s="114"/>
      <c r="B5" s="129" t="s">
        <v>44</v>
      </c>
      <c r="C5" s="129"/>
      <c r="D5" s="121" t="str">
        <f>'Cover Sheet'!D5</f>
        <v>Monthly Period</v>
      </c>
      <c r="E5" s="122"/>
      <c r="F5" s="130">
        <f>'Cover Sheet'!F5</f>
        <v>45915</v>
      </c>
      <c r="G5" s="122"/>
      <c r="H5" s="127"/>
      <c r="I5" s="122"/>
      <c r="J5" s="128"/>
      <c r="K5" s="119"/>
      <c r="L5" s="143"/>
    </row>
    <row r="6" spans="1:13" ht="15" customHeight="1">
      <c r="A6" s="114"/>
      <c r="B6" s="131"/>
      <c r="C6" s="120"/>
      <c r="D6" s="121" t="str">
        <f>'Cover Sheet'!D6</f>
        <v>Interest Period</v>
      </c>
      <c r="E6" s="132" t="str">
        <f>'Cover Sheet'!E6</f>
        <v>from</v>
      </c>
      <c r="F6" s="123">
        <f>'Cover Sheet'!F6</f>
        <v>45883</v>
      </c>
      <c r="G6" s="132" t="str">
        <f>'Cover Sheet'!G6</f>
        <v>to</v>
      </c>
      <c r="H6" s="123">
        <f>'Cover Sheet'!H6</f>
        <v>45915</v>
      </c>
      <c r="I6" s="132" t="str">
        <f>'Cover Sheet'!I6</f>
        <v>=</v>
      </c>
      <c r="J6" s="133" t="str">
        <f>'Cover Sheet'!J6</f>
        <v>32 days</v>
      </c>
      <c r="K6" s="134"/>
      <c r="M6" s="135"/>
    </row>
    <row r="7" spans="1:13" ht="13">
      <c r="A7" s="114"/>
      <c r="D7" s="136" t="str">
        <f>'Cover Sheet'!D7</f>
        <v>Collection Period</v>
      </c>
      <c r="E7" s="137" t="str">
        <f>'Cover Sheet'!E7</f>
        <v>from</v>
      </c>
      <c r="F7" s="138" t="str">
        <f>'Cover Sheet'!F7</f>
        <v>01.08.2025</v>
      </c>
      <c r="G7" s="137" t="str">
        <f>'Cover Sheet'!G7</f>
        <v>to</v>
      </c>
      <c r="H7" s="138">
        <f>'Cover Sheet'!H7</f>
        <v>45900</v>
      </c>
      <c r="I7" s="322"/>
      <c r="J7" s="162"/>
      <c r="K7" s="119"/>
      <c r="L7" s="143"/>
    </row>
    <row r="8" spans="1:13" ht="13">
      <c r="A8" s="114"/>
      <c r="D8" s="142"/>
      <c r="E8" s="81"/>
      <c r="F8" s="142"/>
      <c r="H8" s="163"/>
      <c r="J8" s="143"/>
      <c r="K8" s="119"/>
    </row>
    <row r="9" spans="1:13">
      <c r="A9" s="114"/>
      <c r="K9" s="119"/>
    </row>
    <row r="10" spans="1:13">
      <c r="A10" s="114"/>
      <c r="K10" s="119"/>
    </row>
    <row r="11" spans="1:13" ht="18" customHeight="1">
      <c r="A11" s="114"/>
      <c r="K11" s="119"/>
    </row>
    <row r="12" spans="1:13">
      <c r="A12" s="114"/>
      <c r="K12" s="119"/>
    </row>
    <row r="13" spans="1:13" ht="18">
      <c r="A13" s="114"/>
      <c r="B13" s="42"/>
      <c r="D13" s="753"/>
      <c r="F13" s="81"/>
      <c r="K13" s="119"/>
    </row>
    <row r="14" spans="1:13">
      <c r="A14" s="114"/>
      <c r="D14" s="50"/>
      <c r="K14" s="119"/>
    </row>
    <row r="15" spans="1:13">
      <c r="A15" s="114"/>
      <c r="D15" s="50"/>
      <c r="K15" s="119"/>
    </row>
    <row r="16" spans="1:13">
      <c r="A16" s="114"/>
      <c r="D16" s="50"/>
      <c r="K16" s="119"/>
    </row>
    <row r="17" spans="1:11" ht="18">
      <c r="A17" s="114"/>
      <c r="B17" s="42" t="s">
        <v>11</v>
      </c>
      <c r="D17" s="50"/>
      <c r="F17" s="81"/>
      <c r="K17" s="119"/>
    </row>
    <row r="18" spans="1:11" ht="13">
      <c r="A18" s="114"/>
      <c r="B18" s="32" t="s">
        <v>180</v>
      </c>
      <c r="C18" s="144" t="s">
        <v>8</v>
      </c>
      <c r="D18" s="753"/>
      <c r="F18" s="143" t="s">
        <v>42</v>
      </c>
      <c r="K18" s="119"/>
    </row>
    <row r="19" spans="1:11">
      <c r="A19" s="114"/>
      <c r="B19" s="18" t="s">
        <v>13</v>
      </c>
      <c r="C19" s="754">
        <f>IF(ISNUMBER('5. Outstanding Notes'!C27),D19/'5. Outstanding Notes'!C27,"")</f>
        <v>1.5566444703493026E-2</v>
      </c>
      <c r="D19" s="804">
        <f>VLOOKUP("Liquidity_Reserve_bop",calcdata,2,0)</f>
        <v>18014614.390000001</v>
      </c>
      <c r="F19" s="81"/>
      <c r="K19" s="119"/>
    </row>
    <row r="20" spans="1:11">
      <c r="A20" s="114"/>
      <c r="B20" s="18" t="s">
        <v>80</v>
      </c>
      <c r="D20" s="804">
        <f>VLOOKUP("Liquidity_Reserve_cashout",calcdata,2,0)</f>
        <v>18014614.390000001</v>
      </c>
      <c r="F20" s="81"/>
      <c r="K20" s="119"/>
    </row>
    <row r="21" spans="1:11">
      <c r="A21" s="114"/>
      <c r="B21" s="18" t="s">
        <v>376</v>
      </c>
      <c r="D21" s="777">
        <f>MAX(0,(D19-D25))</f>
        <v>655530.73000000045</v>
      </c>
      <c r="F21" s="81"/>
      <c r="K21" s="119"/>
    </row>
    <row r="22" spans="1:11">
      <c r="A22" s="114"/>
      <c r="D22" s="777"/>
      <c r="F22" s="81"/>
      <c r="K22" s="119"/>
    </row>
    <row r="23" spans="1:11">
      <c r="A23" s="114"/>
      <c r="B23" s="18" t="s">
        <v>81</v>
      </c>
      <c r="D23" s="777">
        <f>VLOOKUP("Liquidity_Reserve_cashin",calcdata,2,0)</f>
        <v>17359083.66</v>
      </c>
      <c r="F23" s="81"/>
      <c r="K23" s="119"/>
    </row>
    <row r="24" spans="1:11">
      <c r="A24" s="114"/>
      <c r="B24" s="18" t="s">
        <v>14</v>
      </c>
      <c r="C24" s="754">
        <f>IF(ISNUMBER(D24),D24/'5. Outstanding Notes'!C33,"")</f>
        <v>1.5502728604750283E-2</v>
      </c>
      <c r="D24" s="777">
        <f>VLOOKUP("Liquidity_Reserve_eop",calcdata,2,0)</f>
        <v>17359083.66</v>
      </c>
      <c r="F24" s="81"/>
      <c r="K24" s="119"/>
    </row>
    <row r="25" spans="1:11">
      <c r="A25" s="114"/>
      <c r="B25" s="18" t="s">
        <v>309</v>
      </c>
      <c r="C25" s="754">
        <f>IF(ISNUMBER(D25),D25/'5. Outstanding Notes'!C33,"")</f>
        <v>1.5502728604750283E-2</v>
      </c>
      <c r="D25" s="777">
        <f>VLOOKUP("Liquidity_Reserve_fund",calcdata,2,0)</f>
        <v>17359083.66</v>
      </c>
      <c r="F25" s="81"/>
      <c r="K25" s="119"/>
    </row>
    <row r="26" spans="1:11">
      <c r="A26" s="114"/>
      <c r="D26" s="50"/>
      <c r="F26" s="81"/>
      <c r="K26" s="119"/>
    </row>
    <row r="27" spans="1:11" ht="13">
      <c r="A27" s="114"/>
      <c r="B27" s="32" t="s">
        <v>10</v>
      </c>
      <c r="C27" s="144" t="s">
        <v>8</v>
      </c>
      <c r="D27" s="753"/>
      <c r="F27" s="810" t="str">
        <f>VLOOKUP("Com_Reserve_Trigger",calcdata,4,0)</f>
        <v>no</v>
      </c>
      <c r="K27" s="119"/>
    </row>
    <row r="28" spans="1:11">
      <c r="A28" s="114"/>
      <c r="B28" s="18" t="s">
        <v>13</v>
      </c>
      <c r="C28" s="707" t="str">
        <f>IF(AND(ISNUMBER('5. Outstanding Notes'!C27),ISNUMBER(D28)),D28/'5. Outstanding Notes'!C27,"")</f>
        <v/>
      </c>
      <c r="D28" s="755" t="str">
        <f>VLOOKUP("Com_Reserve_bop",calcdata,4,0)</f>
        <v>n/a</v>
      </c>
      <c r="F28" s="81"/>
      <c r="K28" s="119"/>
    </row>
    <row r="29" spans="1:11">
      <c r="A29" s="114"/>
      <c r="B29" s="18" t="s">
        <v>80</v>
      </c>
      <c r="C29" s="707"/>
      <c r="D29" s="755" t="str">
        <f>VLOOKUP("Com_Reserve_cashout",calcdata,4,0)</f>
        <v>n/a</v>
      </c>
      <c r="F29" s="81"/>
      <c r="K29" s="119"/>
    </row>
    <row r="30" spans="1:11">
      <c r="A30" s="114"/>
      <c r="B30" s="18" t="s">
        <v>311</v>
      </c>
      <c r="C30" s="707"/>
      <c r="D30" s="755"/>
      <c r="F30" s="81"/>
      <c r="K30" s="119"/>
    </row>
    <row r="31" spans="1:11">
      <c r="A31" s="114"/>
      <c r="B31" s="18" t="s">
        <v>349</v>
      </c>
      <c r="C31" s="707"/>
      <c r="D31" s="755"/>
      <c r="F31" s="81"/>
      <c r="K31" s="119"/>
    </row>
    <row r="32" spans="1:11">
      <c r="A32" s="114"/>
      <c r="B32" s="18" t="s">
        <v>81</v>
      </c>
      <c r="C32" s="707"/>
      <c r="D32" s="755" t="str">
        <f>VLOOKUP("Com_Reserve_cashin",calcdata,4,0)</f>
        <v>n/a</v>
      </c>
      <c r="F32" s="81"/>
      <c r="K32" s="119"/>
    </row>
    <row r="33" spans="1:11">
      <c r="A33" s="114"/>
      <c r="B33" s="18" t="s">
        <v>14</v>
      </c>
      <c r="C33" s="707" t="str">
        <f>IF(AND(ISNUMBER('5. Outstanding Notes'!C33),ISNUMBER(D33)),D33/'5. Outstanding Notes'!C33,"")</f>
        <v/>
      </c>
      <c r="D33" s="755" t="str">
        <f>VLOOKUP("Com_Reserve_eop",calcdata,4,0)</f>
        <v>n/a</v>
      </c>
      <c r="F33" s="81"/>
      <c r="K33" s="119"/>
    </row>
    <row r="34" spans="1:11">
      <c r="A34" s="114"/>
      <c r="B34" s="18" t="s">
        <v>310</v>
      </c>
      <c r="C34" s="707"/>
      <c r="D34" s="755">
        <f>VLOOKUP("Com_Reserve_required",calcdata,2,0)</f>
        <v>0</v>
      </c>
      <c r="F34" s="81"/>
      <c r="K34" s="119"/>
    </row>
    <row r="35" spans="1:11">
      <c r="A35" s="114"/>
      <c r="B35" s="149"/>
      <c r="D35" s="110"/>
      <c r="F35" s="81"/>
      <c r="K35" s="119"/>
    </row>
    <row r="36" spans="1:11" ht="13">
      <c r="A36" s="114"/>
      <c r="B36" s="32" t="s">
        <v>168</v>
      </c>
      <c r="C36" s="144" t="s">
        <v>8</v>
      </c>
      <c r="D36" s="50"/>
      <c r="F36" s="810" t="str">
        <f>VLOOKUP("Setoff_Reserve_Trigger",calcdata,4,0)</f>
        <v>no</v>
      </c>
      <c r="K36" s="119"/>
    </row>
    <row r="37" spans="1:11">
      <c r="A37" s="114"/>
      <c r="B37" s="18" t="s">
        <v>13</v>
      </c>
      <c r="C37" s="707" t="str">
        <f>IF(AND(ISNUMBER('5. Outstanding Notes'!C27),ISNUMBER(D37)),D37/'5. Outstanding Notes'!C27,"")</f>
        <v/>
      </c>
      <c r="D37" s="755" t="str">
        <f>VLOOKUP("Setoff_Reserve_bop",calcdata,4,0)</f>
        <v>n/a</v>
      </c>
      <c r="F37" s="756"/>
      <c r="K37" s="119"/>
    </row>
    <row r="38" spans="1:11">
      <c r="A38" s="114"/>
      <c r="B38" s="18" t="s">
        <v>80</v>
      </c>
      <c r="D38" s="755" t="str">
        <f>VLOOKUP("Setoff_Reserve_cashout",calcdata,4,0)</f>
        <v>n/a</v>
      </c>
      <c r="F38" s="146"/>
      <c r="K38" s="119"/>
    </row>
    <row r="39" spans="1:11">
      <c r="A39" s="114"/>
      <c r="B39" s="18" t="s">
        <v>347</v>
      </c>
      <c r="D39" s="755"/>
      <c r="F39" s="146"/>
      <c r="K39" s="119"/>
    </row>
    <row r="40" spans="1:11">
      <c r="A40" s="114"/>
      <c r="B40" s="18" t="s">
        <v>348</v>
      </c>
      <c r="D40" s="755"/>
      <c r="F40" s="146"/>
      <c r="K40" s="119"/>
    </row>
    <row r="41" spans="1:11">
      <c r="A41" s="114"/>
      <c r="B41" s="18" t="s">
        <v>81</v>
      </c>
      <c r="D41" s="755" t="str">
        <f>VLOOKUP("Setoff_Reserve_cashin",calcdata,4,0)</f>
        <v>n/a</v>
      </c>
      <c r="F41" s="146"/>
      <c r="K41" s="119"/>
    </row>
    <row r="42" spans="1:11">
      <c r="A42" s="114"/>
      <c r="B42" s="18" t="s">
        <v>14</v>
      </c>
      <c r="C42" s="707" t="str">
        <f>IF(AND(ISNUMBER('5. Outstanding Notes'!C33),ISNUMBER(D42)),D42/'5. Outstanding Notes'!C33,"")</f>
        <v/>
      </c>
      <c r="D42" s="755" t="str">
        <f>VLOOKUP("Setoff_Reserve_eop",calcdata,4,0)</f>
        <v>n/a</v>
      </c>
      <c r="F42" s="146"/>
      <c r="K42" s="119"/>
    </row>
    <row r="43" spans="1:11">
      <c r="A43" s="114"/>
      <c r="B43" s="18" t="s">
        <v>390</v>
      </c>
      <c r="C43" s="707"/>
      <c r="D43" s="755">
        <f>VLOOKUP("Setoff_Reserve_required",calcdata,2,0)</f>
        <v>0</v>
      </c>
      <c r="F43" s="146"/>
      <c r="K43" s="119"/>
    </row>
    <row r="44" spans="1:11">
      <c r="A44" s="114"/>
      <c r="D44" s="50"/>
      <c r="F44" s="146"/>
      <c r="K44" s="119"/>
    </row>
    <row r="45" spans="1:11">
      <c r="A45" s="114"/>
      <c r="B45" s="18" t="s">
        <v>403</v>
      </c>
      <c r="D45" s="755"/>
      <c r="F45" s="146"/>
      <c r="K45" s="119"/>
    </row>
    <row r="46" spans="1:11">
      <c r="A46" s="150"/>
      <c r="B46" s="51"/>
      <c r="C46" s="51"/>
      <c r="D46" s="51"/>
      <c r="E46" s="51"/>
      <c r="F46" s="51"/>
      <c r="G46" s="51"/>
      <c r="H46" s="51"/>
      <c r="I46" s="51"/>
      <c r="J46" s="51"/>
      <c r="K46" s="152"/>
    </row>
  </sheetData>
  <phoneticPr fontId="3"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18.453125" style="22" customWidth="1"/>
    <col min="3" max="3" width="21.81640625" style="22" customWidth="1"/>
    <col min="4" max="4" width="20.81640625" style="22" customWidth="1"/>
    <col min="5" max="8" width="15.54296875" style="22" customWidth="1"/>
    <col min="9" max="12" width="8.816406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23"/>
      <c r="M1" s="224"/>
    </row>
    <row r="2" spans="1:13" ht="18">
      <c r="A2" s="225"/>
      <c r="B2" s="226" t="str">
        <f>'Cover Sheet'!B2</f>
        <v>SC Germany Consumer 2024-1</v>
      </c>
      <c r="C2" s="226"/>
      <c r="D2" s="227" t="str">
        <f>'Cover Sheet'!D2</f>
        <v>Calculation Date</v>
      </c>
      <c r="E2" s="228"/>
      <c r="F2" s="229">
        <f>'Cover Sheet'!F2</f>
        <v>45911</v>
      </c>
      <c r="G2" s="228"/>
      <c r="H2" s="228"/>
      <c r="I2" s="228"/>
      <c r="J2" s="228"/>
      <c r="K2" s="228"/>
      <c r="L2" s="230"/>
      <c r="M2" s="94"/>
    </row>
    <row r="3" spans="1:13" ht="18">
      <c r="A3" s="225"/>
      <c r="B3" s="226" t="str">
        <f>'Cover Sheet'!B3</f>
        <v>Monthly Investor Report</v>
      </c>
      <c r="C3" s="226"/>
      <c r="D3" s="232" t="str">
        <f>'Cover Sheet'!D3</f>
        <v>Payment Date</v>
      </c>
      <c r="E3" s="233"/>
      <c r="F3" s="234">
        <f>'Cover Sheet'!F3</f>
        <v>45915</v>
      </c>
      <c r="G3" s="233"/>
      <c r="H3" s="233"/>
      <c r="I3" s="233"/>
      <c r="J3" s="233"/>
      <c r="K3" s="233"/>
      <c r="L3" s="235"/>
      <c r="M3" s="94"/>
    </row>
    <row r="4" spans="1:13">
      <c r="A4" s="225"/>
      <c r="B4" s="741"/>
      <c r="C4" s="109"/>
      <c r="D4" s="232" t="str">
        <f>'Cover Sheet'!D4</f>
        <v>Period  No</v>
      </c>
      <c r="E4" s="233"/>
      <c r="F4" s="237">
        <f>'Cover Sheet'!F4</f>
        <v>16</v>
      </c>
      <c r="G4" s="233"/>
      <c r="H4" s="238"/>
      <c r="I4" s="233"/>
      <c r="J4" s="243"/>
      <c r="K4" s="233"/>
      <c r="L4" s="239"/>
      <c r="M4" s="94"/>
    </row>
    <row r="5" spans="1:13" ht="18">
      <c r="A5" s="225"/>
      <c r="B5" s="240" t="s">
        <v>229</v>
      </c>
      <c r="C5" s="240"/>
      <c r="D5" s="232" t="str">
        <f>'Cover Sheet'!D5</f>
        <v>Monthly Period</v>
      </c>
      <c r="E5" s="233"/>
      <c r="F5" s="130">
        <f>'Cover Sheet'!F5</f>
        <v>45915</v>
      </c>
      <c r="G5" s="233"/>
      <c r="H5" s="238"/>
      <c r="I5" s="233"/>
      <c r="J5" s="243"/>
      <c r="K5" s="233"/>
      <c r="L5" s="239"/>
      <c r="M5" s="94"/>
    </row>
    <row r="6" spans="1:13" ht="15" customHeight="1">
      <c r="A6" s="225"/>
      <c r="B6" s="241"/>
      <c r="C6" s="236"/>
      <c r="D6" s="232" t="str">
        <f>'Cover Sheet'!D6</f>
        <v>Interest Period</v>
      </c>
      <c r="E6" s="243" t="str">
        <f>'Cover Sheet'!E6</f>
        <v>from</v>
      </c>
      <c r="F6" s="234">
        <f>'Cover Sheet'!F6</f>
        <v>45883</v>
      </c>
      <c r="G6" s="243" t="str">
        <f>'Cover Sheet'!G6</f>
        <v>to</v>
      </c>
      <c r="H6" s="234">
        <f>'Cover Sheet'!H6</f>
        <v>45915</v>
      </c>
      <c r="I6" s="243" t="str">
        <f>'Cover Sheet'!I6</f>
        <v>=</v>
      </c>
      <c r="J6" s="716" t="str">
        <f>'Cover Sheet'!J6</f>
        <v>32 days</v>
      </c>
      <c r="K6" s="243"/>
      <c r="L6" s="332"/>
      <c r="M6" s="299"/>
    </row>
    <row r="7" spans="1:13">
      <c r="A7" s="225"/>
      <c r="D7" s="607" t="str">
        <f>'Cover Sheet'!D7</f>
        <v>Collection Period</v>
      </c>
      <c r="E7" s="608" t="str">
        <f>'Cover Sheet'!E7</f>
        <v>from</v>
      </c>
      <c r="F7" s="247" t="str">
        <f>'Cover Sheet'!F7</f>
        <v>01.08.2025</v>
      </c>
      <c r="G7" s="608" t="str">
        <f>'Cover Sheet'!G7</f>
        <v>to</v>
      </c>
      <c r="H7" s="247">
        <f>'Cover Sheet'!H7</f>
        <v>45900</v>
      </c>
      <c r="I7" s="248"/>
      <c r="J7" s="248"/>
      <c r="K7" s="248"/>
      <c r="L7" s="249"/>
      <c r="M7" s="94"/>
    </row>
    <row r="8" spans="1:13" ht="13">
      <c r="A8" s="225"/>
      <c r="D8" s="717"/>
      <c r="E8" s="5"/>
      <c r="F8" s="231"/>
      <c r="H8" s="250"/>
      <c r="J8" s="250"/>
      <c r="L8" s="78"/>
      <c r="M8" s="94"/>
    </row>
    <row r="9" spans="1:13">
      <c r="A9" s="225"/>
      <c r="D9" s="109"/>
      <c r="M9" s="94"/>
    </row>
    <row r="10" spans="1:13">
      <c r="A10" s="225"/>
      <c r="D10" s="109"/>
      <c r="M10" s="94"/>
    </row>
    <row r="11" spans="1:13" ht="18" customHeight="1">
      <c r="A11" s="225"/>
      <c r="D11" s="109"/>
      <c r="M11" s="94"/>
    </row>
    <row r="12" spans="1:13">
      <c r="A12" s="225"/>
      <c r="D12" s="109"/>
      <c r="M12" s="94"/>
    </row>
    <row r="13" spans="1:13" ht="18">
      <c r="A13" s="225"/>
      <c r="B13" s="226"/>
      <c r="D13" s="708"/>
      <c r="F13" s="226"/>
      <c r="J13" s="226"/>
      <c r="M13" s="94"/>
    </row>
    <row r="14" spans="1:13">
      <c r="A14" s="225"/>
      <c r="D14" s="718"/>
      <c r="M14" s="94"/>
    </row>
    <row r="15" spans="1:13">
      <c r="A15" s="225"/>
      <c r="D15" s="718"/>
      <c r="M15" s="94"/>
    </row>
    <row r="16" spans="1:13">
      <c r="A16" s="225"/>
      <c r="D16" s="719"/>
      <c r="M16" s="94"/>
    </row>
    <row r="17" spans="1:23" ht="18">
      <c r="A17" s="225"/>
      <c r="B17" s="226" t="s">
        <v>171</v>
      </c>
      <c r="C17" s="720"/>
      <c r="D17" s="720"/>
      <c r="E17" s="720"/>
      <c r="F17" s="708"/>
      <c r="G17" s="708"/>
      <c r="H17" s="750"/>
      <c r="J17" s="720"/>
      <c r="L17" s="720"/>
      <c r="M17" s="94"/>
    </row>
    <row r="18" spans="1:23" ht="18">
      <c r="A18" s="225"/>
      <c r="B18" s="226"/>
      <c r="C18" s="720"/>
      <c r="D18" s="720"/>
      <c r="E18" s="720"/>
      <c r="F18" s="708"/>
      <c r="G18" s="708"/>
      <c r="H18" s="720"/>
      <c r="J18" s="720"/>
      <c r="M18" s="94"/>
    </row>
    <row r="19" spans="1:23" ht="13.5" thickBot="1">
      <c r="A19" s="225"/>
      <c r="B19" s="689"/>
      <c r="K19" s="645"/>
      <c r="L19" s="703"/>
      <c r="M19" s="94"/>
    </row>
    <row r="20" spans="1:23" ht="15" thickBot="1">
      <c r="A20" s="225"/>
      <c r="B20" s="888" t="s">
        <v>111</v>
      </c>
      <c r="C20" s="888" t="s">
        <v>391</v>
      </c>
      <c r="D20" s="894" t="s">
        <v>239</v>
      </c>
      <c r="E20" s="895"/>
      <c r="F20" s="895"/>
      <c r="G20" s="896"/>
      <c r="H20" s="888" t="s">
        <v>240</v>
      </c>
      <c r="I20" s="894" t="s">
        <v>239</v>
      </c>
      <c r="J20" s="895"/>
      <c r="K20" s="895"/>
      <c r="L20" s="897"/>
      <c r="M20" s="251"/>
      <c r="O20" s="723"/>
      <c r="Q20" s="724"/>
      <c r="R20" s="725"/>
      <c r="S20" s="725"/>
      <c r="V20" s="645"/>
      <c r="W20" s="726"/>
    </row>
    <row r="21" spans="1:23" ht="15" thickBot="1">
      <c r="A21" s="225"/>
      <c r="B21" s="893"/>
      <c r="C21" s="889"/>
      <c r="D21" s="805" t="s">
        <v>241</v>
      </c>
      <c r="E21" s="803" t="s">
        <v>242</v>
      </c>
      <c r="F21" s="803" t="s">
        <v>243</v>
      </c>
      <c r="G21" s="721" t="s">
        <v>244</v>
      </c>
      <c r="H21" s="889"/>
      <c r="I21" s="803" t="s">
        <v>241</v>
      </c>
      <c r="J21" s="803" t="s">
        <v>242</v>
      </c>
      <c r="K21" s="803" t="s">
        <v>243</v>
      </c>
      <c r="L21" s="722" t="s">
        <v>244</v>
      </c>
      <c r="M21" s="94"/>
      <c r="Q21" s="724"/>
      <c r="R21" s="725"/>
      <c r="S21" s="724"/>
      <c r="U21" s="109"/>
    </row>
    <row r="22" spans="1:23" ht="13">
      <c r="A22" s="225"/>
      <c r="B22" s="751">
        <v>1</v>
      </c>
      <c r="C22" s="771">
        <f t="shared" ref="C22:C53" si="0">IF($F$4&gt;=$B22,VLOOKUP(CONCATENATE("delinquency_",$B22),delinquencies,2,0),"")</f>
        <v>1499999923.28</v>
      </c>
      <c r="D22" s="769">
        <f t="shared" ref="D22:D53" si="1">IF($F$4&gt;=$B22,VLOOKUP(CONCATENATE("delinquency_",$B22),delinquencies,3,0),"")</f>
        <v>0</v>
      </c>
      <c r="E22" s="769">
        <f t="shared" ref="E22:E53" si="2">IF($F$4&gt;=$B22,VLOOKUP(CONCATENATE("delinquency_",$B22),delinquencies,4,0),"")</f>
        <v>0</v>
      </c>
      <c r="F22" s="769">
        <f t="shared" ref="F22:F53" si="3">IF($F$4&gt;=$B22,VLOOKUP(CONCATENATE("delinquency_",$B22),delinquencies,5,0),"")</f>
        <v>0</v>
      </c>
      <c r="G22" s="769">
        <f t="shared" ref="G22:G53" si="4">IF($F$4&gt;=$B22,VLOOKUP(CONCATENATE("delinquency_",$B22),delinquencies,6,0),"")</f>
        <v>0</v>
      </c>
      <c r="H22" s="450">
        <f>IF(B22&lt;=$F$4,(C22-D22-E22-F22-G22)/C22,"")</f>
        <v>1</v>
      </c>
      <c r="I22" s="211">
        <f>IF($B22&lt;=$F$4,D22/$C22,"")</f>
        <v>0</v>
      </c>
      <c r="J22" s="211">
        <f t="shared" ref="J22:L22" si="5">IF($B22&lt;=$F$4,E22/$C22,"")</f>
        <v>0</v>
      </c>
      <c r="K22" s="211">
        <f t="shared" si="5"/>
        <v>0</v>
      </c>
      <c r="L22" s="752">
        <f t="shared" si="5"/>
        <v>0</v>
      </c>
      <c r="M22" s="94"/>
      <c r="Q22" s="724"/>
      <c r="R22" s="725"/>
      <c r="S22" s="724"/>
      <c r="U22" s="109"/>
    </row>
    <row r="23" spans="1:23" ht="13">
      <c r="A23" s="225"/>
      <c r="B23" s="375">
        <v>2</v>
      </c>
      <c r="C23" s="771">
        <f t="shared" si="0"/>
        <v>1499999995.49</v>
      </c>
      <c r="D23" s="769">
        <f t="shared" si="1"/>
        <v>757130.03</v>
      </c>
      <c r="E23" s="769">
        <f t="shared" si="2"/>
        <v>2676726.52</v>
      </c>
      <c r="F23" s="769">
        <f t="shared" si="3"/>
        <v>1766110.91</v>
      </c>
      <c r="G23" s="769">
        <f t="shared" si="4"/>
        <v>68625.87</v>
      </c>
      <c r="H23" s="450">
        <f t="shared" ref="H23:H24" si="6">IF(B23&lt;=$F$4,(C23-D23-E23-F23-G23)/C23,"")</f>
        <v>0.99648760443610607</v>
      </c>
      <c r="I23" s="211">
        <f t="shared" ref="I23:I24" si="7">IF($B23&lt;=$F$4,D23/$C23,"")</f>
        <v>5.0475335485095844E-4</v>
      </c>
      <c r="J23" s="211">
        <f t="shared" ref="J23:J24" si="8">IF($B23&lt;=$F$4,E23/$C23,"")</f>
        <v>1.7844843520320162E-3</v>
      </c>
      <c r="K23" s="211">
        <f t="shared" ref="K23:K24" si="9">IF($B23&lt;=$F$4,F23/$C23,"")</f>
        <v>1.1774072768734045E-3</v>
      </c>
      <c r="L23" s="752">
        <f t="shared" ref="L23:L24" si="10">IF($B23&lt;=$F$4,G23/$C23,"")</f>
        <v>4.5750580137556742E-5</v>
      </c>
      <c r="M23" s="94"/>
      <c r="O23" s="730"/>
      <c r="Q23" s="724"/>
      <c r="R23" s="725"/>
      <c r="S23" s="725"/>
    </row>
    <row r="24" spans="1:23" ht="13">
      <c r="A24" s="225"/>
      <c r="B24" s="375">
        <v>3</v>
      </c>
      <c r="C24" s="771">
        <f t="shared" si="0"/>
        <v>1499999997.3900001</v>
      </c>
      <c r="D24" s="769">
        <f t="shared" si="1"/>
        <v>3575957.23</v>
      </c>
      <c r="E24" s="769">
        <f t="shared" si="2"/>
        <v>4765554.42</v>
      </c>
      <c r="F24" s="769">
        <f t="shared" si="3"/>
        <v>2650188.9500000002</v>
      </c>
      <c r="G24" s="769">
        <f t="shared" si="4"/>
        <v>112937.12</v>
      </c>
      <c r="H24" s="450">
        <f t="shared" si="6"/>
        <v>0.99259690817378532</v>
      </c>
      <c r="I24" s="211">
        <f t="shared" si="7"/>
        <v>2.3839714908147768E-3</v>
      </c>
      <c r="J24" s="211">
        <f t="shared" si="8"/>
        <v>3.1770362855280429E-3</v>
      </c>
      <c r="K24" s="211">
        <f t="shared" si="9"/>
        <v>1.7667926364075526E-3</v>
      </c>
      <c r="L24" s="752">
        <f t="shared" si="10"/>
        <v>7.5291413464340383E-5</v>
      </c>
      <c r="M24" s="731"/>
      <c r="Q24" s="724"/>
      <c r="R24" s="732"/>
      <c r="S24" s="732"/>
      <c r="V24" s="645"/>
      <c r="W24" s="703"/>
    </row>
    <row r="25" spans="1:23" ht="13">
      <c r="A25" s="225"/>
      <c r="B25" s="375">
        <v>4</v>
      </c>
      <c r="C25" s="771">
        <f t="shared" si="0"/>
        <v>1499999964.6400001</v>
      </c>
      <c r="D25" s="769">
        <f t="shared" si="1"/>
        <v>1210121.3700000001</v>
      </c>
      <c r="E25" s="769">
        <f t="shared" si="2"/>
        <v>3358271.45</v>
      </c>
      <c r="F25" s="769">
        <f t="shared" si="3"/>
        <v>4601589.59</v>
      </c>
      <c r="G25" s="769">
        <f t="shared" si="4"/>
        <v>4111024.57</v>
      </c>
      <c r="H25" s="450">
        <f t="shared" ref="H25:H88" si="11">IF(B25&lt;=$F$4,(C25-D25-E25-F25-G25)/C25,"")</f>
        <v>0.99114599513794843</v>
      </c>
      <c r="I25" s="211">
        <f t="shared" ref="I25:I88" si="12">IF($B25&lt;=$F$4,D25/$C25,"")</f>
        <v>8.0674759901773008E-4</v>
      </c>
      <c r="J25" s="211">
        <f t="shared" ref="J25:J88" si="13">IF($B25&lt;=$F$4,E25/$C25,"")</f>
        <v>2.2388476861104362E-3</v>
      </c>
      <c r="K25" s="211">
        <f t="shared" ref="K25:K88" si="14">IF($B25&lt;=$F$4,F25/$C25,"")</f>
        <v>3.0677264656498717E-3</v>
      </c>
      <c r="L25" s="752">
        <f t="shared" ref="L25:L88" si="15">IF($B25&lt;=$F$4,G25/$C25,"")</f>
        <v>2.7406831112737028E-3</v>
      </c>
      <c r="M25" s="251"/>
      <c r="N25" s="21"/>
      <c r="O25" s="703"/>
      <c r="P25" s="21"/>
      <c r="Q25" s="733"/>
      <c r="R25" s="734"/>
      <c r="S25" s="732"/>
      <c r="T25" s="21"/>
      <c r="V25" s="645"/>
      <c r="W25" s="726"/>
    </row>
    <row r="26" spans="1:23" ht="13">
      <c r="A26" s="225"/>
      <c r="B26" s="375">
        <v>5</v>
      </c>
      <c r="C26" s="771">
        <f t="shared" si="0"/>
        <v>1499999975.8599999</v>
      </c>
      <c r="D26" s="769">
        <f t="shared" si="1"/>
        <v>5006269.4800000004</v>
      </c>
      <c r="E26" s="769">
        <f t="shared" si="2"/>
        <v>1462608.64</v>
      </c>
      <c r="F26" s="769">
        <f t="shared" si="3"/>
        <v>4662989.34</v>
      </c>
      <c r="G26" s="769">
        <f t="shared" si="4"/>
        <v>6574553.3799999999</v>
      </c>
      <c r="H26" s="450">
        <f t="shared" si="11"/>
        <v>0.98819571925002969</v>
      </c>
      <c r="I26" s="211">
        <f t="shared" si="12"/>
        <v>3.3375130403783771E-3</v>
      </c>
      <c r="J26" s="211">
        <f t="shared" si="13"/>
        <v>9.7507244235883251E-4</v>
      </c>
      <c r="K26" s="211">
        <f t="shared" si="14"/>
        <v>3.1086596100286953E-3</v>
      </c>
      <c r="L26" s="752">
        <f t="shared" si="15"/>
        <v>4.3830356572043209E-3</v>
      </c>
      <c r="M26" s="94"/>
      <c r="Q26" s="724"/>
      <c r="R26" s="725"/>
      <c r="S26" s="724"/>
      <c r="U26" s="109"/>
    </row>
    <row r="27" spans="1:23" ht="13">
      <c r="A27" s="225"/>
      <c r="B27" s="375">
        <v>6</v>
      </c>
      <c r="C27" s="771">
        <f t="shared" si="0"/>
        <v>1499999963.2</v>
      </c>
      <c r="D27" s="769">
        <f t="shared" si="1"/>
        <v>4566763.51</v>
      </c>
      <c r="E27" s="769">
        <f t="shared" si="2"/>
        <v>1657944.28</v>
      </c>
      <c r="F27" s="769">
        <f t="shared" si="3"/>
        <v>5143113.0599999996</v>
      </c>
      <c r="G27" s="769">
        <f t="shared" si="4"/>
        <v>6972177.6200000001</v>
      </c>
      <c r="H27" s="450">
        <f t="shared" si="11"/>
        <v>0.98777333405337264</v>
      </c>
      <c r="I27" s="211">
        <f t="shared" si="12"/>
        <v>3.0445090813586225E-3</v>
      </c>
      <c r="J27" s="211">
        <f t="shared" si="13"/>
        <v>1.1052962137832671E-3</v>
      </c>
      <c r="K27" s="211">
        <f t="shared" si="14"/>
        <v>3.4287421241184731E-3</v>
      </c>
      <c r="L27" s="752">
        <f t="shared" si="15"/>
        <v>4.6481185273671748E-3</v>
      </c>
      <c r="M27" s="94"/>
      <c r="Q27" s="724"/>
      <c r="R27" s="725"/>
      <c r="S27" s="724"/>
      <c r="U27" s="109"/>
    </row>
    <row r="28" spans="1:23" ht="13">
      <c r="A28" s="225"/>
      <c r="B28" s="375">
        <v>7</v>
      </c>
      <c r="C28" s="771">
        <f t="shared" si="0"/>
        <v>1499999991.78</v>
      </c>
      <c r="D28" s="769">
        <f t="shared" si="1"/>
        <v>1603435.17</v>
      </c>
      <c r="E28" s="769">
        <f t="shared" si="2"/>
        <v>5298840.03</v>
      </c>
      <c r="F28" s="769">
        <f t="shared" si="3"/>
        <v>5980953.7000000002</v>
      </c>
      <c r="G28" s="769">
        <f t="shared" si="4"/>
        <v>7476368.0199999996</v>
      </c>
      <c r="H28" s="450">
        <f t="shared" si="11"/>
        <v>0.9864269353122862</v>
      </c>
      <c r="I28" s="211">
        <f t="shared" si="12"/>
        <v>1.0689567858578831E-3</v>
      </c>
      <c r="J28" s="211">
        <f t="shared" si="13"/>
        <v>3.5325600393584294E-3</v>
      </c>
      <c r="K28" s="211">
        <f t="shared" si="14"/>
        <v>3.9873024885170843E-3</v>
      </c>
      <c r="L28" s="752">
        <f t="shared" si="15"/>
        <v>4.9842453739803311E-3</v>
      </c>
      <c r="M28" s="94"/>
      <c r="O28" s="730"/>
      <c r="Q28" s="724"/>
      <c r="R28" s="732"/>
      <c r="S28" s="732"/>
    </row>
    <row r="29" spans="1:23" ht="13">
      <c r="A29" s="225"/>
      <c r="B29" s="375">
        <v>8</v>
      </c>
      <c r="C29" s="771">
        <f t="shared" si="0"/>
        <v>1499999977.1099999</v>
      </c>
      <c r="D29" s="769">
        <f t="shared" si="1"/>
        <v>5954978.6900000004</v>
      </c>
      <c r="E29" s="769">
        <f t="shared" si="2"/>
        <v>6810370.79</v>
      </c>
      <c r="F29" s="769">
        <f t="shared" si="3"/>
        <v>5188200.54</v>
      </c>
      <c r="G29" s="769">
        <f t="shared" si="4"/>
        <v>5351753.6500000004</v>
      </c>
      <c r="H29" s="450">
        <f t="shared" si="11"/>
        <v>0.98446313064957403</v>
      </c>
      <c r="I29" s="211">
        <f t="shared" si="12"/>
        <v>3.9699858539153183E-3</v>
      </c>
      <c r="J29" s="211">
        <f t="shared" si="13"/>
        <v>4.5402472626175066E-3</v>
      </c>
      <c r="K29" s="211">
        <f t="shared" si="14"/>
        <v>3.4588004127812945E-3</v>
      </c>
      <c r="L29" s="752">
        <f t="shared" si="15"/>
        <v>3.5678358211118418E-3</v>
      </c>
      <c r="M29" s="94"/>
      <c r="Q29" s="724"/>
      <c r="R29" s="732"/>
      <c r="S29" s="732"/>
    </row>
    <row r="30" spans="1:23" ht="13">
      <c r="A30" s="225"/>
      <c r="B30" s="375">
        <v>9</v>
      </c>
      <c r="C30" s="771">
        <f t="shared" si="0"/>
        <v>1463993165.4200001</v>
      </c>
      <c r="D30" s="769">
        <f t="shared" si="1"/>
        <v>6446117.1600000001</v>
      </c>
      <c r="E30" s="769">
        <f t="shared" si="2"/>
        <v>7005492.7800000003</v>
      </c>
      <c r="F30" s="769">
        <f t="shared" si="3"/>
        <v>1463776.36</v>
      </c>
      <c r="G30" s="769">
        <f t="shared" si="4"/>
        <v>9715704.7200000007</v>
      </c>
      <c r="H30" s="450">
        <f t="shared" si="11"/>
        <v>0.98317540573153317</v>
      </c>
      <c r="I30" s="211">
        <f t="shared" si="12"/>
        <v>4.4031060473910715E-3</v>
      </c>
      <c r="J30" s="211">
        <f t="shared" si="13"/>
        <v>4.785195003277367E-3</v>
      </c>
      <c r="K30" s="211">
        <f t="shared" si="14"/>
        <v>9.9985190817476408E-4</v>
      </c>
      <c r="L30" s="752">
        <f t="shared" si="15"/>
        <v>6.6364413096236651E-3</v>
      </c>
      <c r="M30" s="251"/>
      <c r="N30" s="21"/>
      <c r="O30" s="703"/>
      <c r="P30" s="21"/>
      <c r="Q30" s="735"/>
      <c r="R30" s="734"/>
      <c r="S30" s="732"/>
      <c r="T30" s="21"/>
      <c r="U30" s="703"/>
    </row>
    <row r="31" spans="1:23" ht="13">
      <c r="A31" s="225"/>
      <c r="B31" s="375">
        <v>10</v>
      </c>
      <c r="C31" s="771">
        <f t="shared" si="0"/>
        <v>1415199741.3900001</v>
      </c>
      <c r="D31" s="769">
        <f t="shared" si="1"/>
        <v>2238654.83</v>
      </c>
      <c r="E31" s="769">
        <f t="shared" si="2"/>
        <v>5996917.6699999999</v>
      </c>
      <c r="F31" s="769">
        <f t="shared" si="3"/>
        <v>6454997.8700000001</v>
      </c>
      <c r="G31" s="769">
        <f t="shared" si="4"/>
        <v>10137307.65</v>
      </c>
      <c r="H31" s="450">
        <f t="shared" si="11"/>
        <v>0.98245627292468685</v>
      </c>
      <c r="I31" s="211">
        <f t="shared" si="12"/>
        <v>1.581864923039915E-3</v>
      </c>
      <c r="J31" s="211">
        <f t="shared" si="13"/>
        <v>4.237506194079619E-3</v>
      </c>
      <c r="K31" s="211">
        <f t="shared" si="14"/>
        <v>4.5611920926864656E-3</v>
      </c>
      <c r="L31" s="752">
        <f t="shared" si="15"/>
        <v>7.1631638655072121E-3</v>
      </c>
      <c r="M31" s="94"/>
      <c r="Q31" s="724"/>
      <c r="R31" s="725"/>
      <c r="S31" s="724"/>
      <c r="U31" s="109"/>
    </row>
    <row r="32" spans="1:23" ht="13">
      <c r="A32" s="225"/>
      <c r="B32" s="375">
        <v>11</v>
      </c>
      <c r="C32" s="771">
        <f t="shared" si="0"/>
        <v>1372585564.24</v>
      </c>
      <c r="D32" s="769">
        <f t="shared" si="1"/>
        <v>7563240.3099999996</v>
      </c>
      <c r="E32" s="769">
        <f t="shared" si="2"/>
        <v>7090197.7400000002</v>
      </c>
      <c r="F32" s="769">
        <f t="shared" si="3"/>
        <v>6267018.8499999996</v>
      </c>
      <c r="G32" s="769">
        <f t="shared" si="4"/>
        <v>6807347.4400000004</v>
      </c>
      <c r="H32" s="450">
        <f t="shared" si="11"/>
        <v>0.9797988518439994</v>
      </c>
      <c r="I32" s="211">
        <f t="shared" si="12"/>
        <v>5.5102140857701369E-3</v>
      </c>
      <c r="J32" s="211">
        <f t="shared" si="13"/>
        <v>5.165577960836153E-3</v>
      </c>
      <c r="K32" s="211">
        <f t="shared" si="14"/>
        <v>4.5658493089791785E-3</v>
      </c>
      <c r="L32" s="752">
        <f t="shared" si="15"/>
        <v>4.9595068004151897E-3</v>
      </c>
      <c r="M32" s="94"/>
      <c r="Q32" s="724"/>
      <c r="R32" s="725"/>
      <c r="S32" s="724"/>
      <c r="U32" s="109"/>
    </row>
    <row r="33" spans="1:23" ht="13">
      <c r="A33" s="225"/>
      <c r="B33" s="375">
        <v>12</v>
      </c>
      <c r="C33" s="771">
        <f t="shared" si="0"/>
        <v>1331663596.5</v>
      </c>
      <c r="D33" s="769">
        <f t="shared" si="1"/>
        <v>2732311.88</v>
      </c>
      <c r="E33" s="769">
        <f t="shared" si="2"/>
        <v>10500510.34</v>
      </c>
      <c r="F33" s="769">
        <f t="shared" si="3"/>
        <v>5782636.4900000002</v>
      </c>
      <c r="G33" s="769">
        <f t="shared" si="4"/>
        <v>7059585.1600000001</v>
      </c>
      <c r="H33" s="450">
        <f t="shared" si="11"/>
        <v>0.98041919600525773</v>
      </c>
      <c r="I33" s="211">
        <f t="shared" si="12"/>
        <v>2.05180338876974E-3</v>
      </c>
      <c r="J33" s="211">
        <f t="shared" si="13"/>
        <v>7.8852574836455695E-3</v>
      </c>
      <c r="K33" s="211">
        <f t="shared" si="14"/>
        <v>4.3424153856863358E-3</v>
      </c>
      <c r="L33" s="752">
        <f t="shared" si="15"/>
        <v>5.3013277366405808E-3</v>
      </c>
      <c r="M33" s="94"/>
      <c r="O33" s="730"/>
      <c r="Q33" s="724"/>
      <c r="R33" s="732"/>
      <c r="S33" s="732"/>
    </row>
    <row r="34" spans="1:23" ht="13">
      <c r="A34" s="225"/>
      <c r="B34" s="375">
        <v>13</v>
      </c>
      <c r="C34" s="771">
        <f t="shared" si="0"/>
        <v>1288936809.78</v>
      </c>
      <c r="D34" s="769">
        <f t="shared" si="1"/>
        <v>7393637.6399999997</v>
      </c>
      <c r="E34" s="769">
        <f t="shared" si="2"/>
        <v>2327116.4900000002</v>
      </c>
      <c r="F34" s="769">
        <f t="shared" si="3"/>
        <v>9714844.4100000001</v>
      </c>
      <c r="G34" s="769">
        <f t="shared" si="4"/>
        <v>7255313.75</v>
      </c>
      <c r="H34" s="450">
        <f t="shared" si="11"/>
        <v>0.97929230348029561</v>
      </c>
      <c r="I34" s="211">
        <f t="shared" si="12"/>
        <v>5.7362297235207136E-3</v>
      </c>
      <c r="J34" s="211">
        <f t="shared" si="13"/>
        <v>1.805454287861637E-3</v>
      </c>
      <c r="K34" s="211">
        <f t="shared" si="14"/>
        <v>7.5370990542648576E-3</v>
      </c>
      <c r="L34" s="752">
        <f t="shared" si="15"/>
        <v>5.6289134540570386E-3</v>
      </c>
      <c r="M34" s="94"/>
      <c r="Q34" s="724"/>
      <c r="R34" s="732"/>
      <c r="S34" s="732"/>
      <c r="V34" s="736"/>
      <c r="W34" s="703"/>
    </row>
    <row r="35" spans="1:23" ht="13">
      <c r="A35" s="225"/>
      <c r="B35" s="375">
        <v>14</v>
      </c>
      <c r="C35" s="771">
        <f t="shared" si="0"/>
        <v>1247253555.3499999</v>
      </c>
      <c r="D35" s="769">
        <f t="shared" si="1"/>
        <v>7014410.5199999996</v>
      </c>
      <c r="E35" s="769">
        <f t="shared" si="2"/>
        <v>7401076.8899999997</v>
      </c>
      <c r="F35" s="769">
        <f t="shared" si="3"/>
        <v>1877592.92</v>
      </c>
      <c r="G35" s="769">
        <f t="shared" si="4"/>
        <v>10357769.619999999</v>
      </c>
      <c r="H35" s="450">
        <f t="shared" si="11"/>
        <v>0.97863237203399156</v>
      </c>
      <c r="I35" s="211">
        <f t="shared" si="12"/>
        <v>5.6238849670239184E-3</v>
      </c>
      <c r="J35" s="211">
        <f t="shared" si="13"/>
        <v>5.9338992125968605E-3</v>
      </c>
      <c r="K35" s="211">
        <f t="shared" si="14"/>
        <v>1.5053818944401538E-3</v>
      </c>
      <c r="L35" s="752">
        <f t="shared" si="15"/>
        <v>8.3044618919474143E-3</v>
      </c>
      <c r="M35" s="251"/>
      <c r="N35" s="21"/>
      <c r="O35" s="703"/>
      <c r="P35" s="21"/>
      <c r="Q35" s="735"/>
      <c r="R35" s="734"/>
      <c r="S35" s="732"/>
    </row>
    <row r="36" spans="1:23" ht="13">
      <c r="A36" s="225"/>
      <c r="B36" s="375">
        <v>15</v>
      </c>
      <c r="C36" s="771">
        <f t="shared" si="0"/>
        <v>1209511439</v>
      </c>
      <c r="D36" s="769">
        <f t="shared" si="1"/>
        <v>7428388.96</v>
      </c>
      <c r="E36" s="769">
        <f t="shared" si="2"/>
        <v>2532531.7000000002</v>
      </c>
      <c r="F36" s="769">
        <f t="shared" si="3"/>
        <v>6638429.0599999996</v>
      </c>
      <c r="G36" s="769">
        <f t="shared" si="4"/>
        <v>11118878.49</v>
      </c>
      <c r="H36" s="450">
        <f t="shared" si="11"/>
        <v>0.9770831202448842</v>
      </c>
      <c r="I36" s="211">
        <f t="shared" si="12"/>
        <v>6.141644237892983E-3</v>
      </c>
      <c r="J36" s="211">
        <f t="shared" si="13"/>
        <v>2.0938468362844478E-3</v>
      </c>
      <c r="K36" s="211">
        <f t="shared" si="14"/>
        <v>5.4885211052559538E-3</v>
      </c>
      <c r="L36" s="752">
        <f t="shared" si="15"/>
        <v>9.1928675756823494E-3</v>
      </c>
      <c r="M36" s="94"/>
      <c r="Q36" s="724"/>
      <c r="R36" s="725"/>
      <c r="S36" s="724"/>
      <c r="U36" s="109"/>
    </row>
    <row r="37" spans="1:23" ht="13">
      <c r="A37" s="225"/>
      <c r="B37" s="375">
        <v>16</v>
      </c>
      <c r="C37" s="771">
        <f t="shared" si="0"/>
        <v>1168522209.0599999</v>
      </c>
      <c r="D37" s="769">
        <f t="shared" si="1"/>
        <v>2472950.6800000002</v>
      </c>
      <c r="E37" s="769">
        <f t="shared" si="2"/>
        <v>5200945.99</v>
      </c>
      <c r="F37" s="769">
        <f t="shared" si="3"/>
        <v>7034148.1900000004</v>
      </c>
      <c r="G37" s="769">
        <f t="shared" si="4"/>
        <v>10657291.77</v>
      </c>
      <c r="H37" s="450">
        <f t="shared" si="11"/>
        <v>0.97829280741663882</v>
      </c>
      <c r="I37" s="211">
        <f t="shared" si="12"/>
        <v>2.1163061008393912E-3</v>
      </c>
      <c r="J37" s="211">
        <f t="shared" si="13"/>
        <v>4.4508747456189325E-3</v>
      </c>
      <c r="K37" s="211">
        <f t="shared" si="14"/>
        <v>6.0196957622726871E-3</v>
      </c>
      <c r="L37" s="752">
        <f t="shared" si="15"/>
        <v>9.1203159746301252E-3</v>
      </c>
      <c r="M37" s="94"/>
      <c r="Q37" s="724"/>
      <c r="R37" s="725"/>
      <c r="S37" s="724"/>
      <c r="U37" s="109"/>
    </row>
    <row r="38" spans="1:23" ht="13">
      <c r="A38" s="225"/>
      <c r="B38" s="375">
        <v>17</v>
      </c>
      <c r="C38" s="771" t="str">
        <f t="shared" si="0"/>
        <v/>
      </c>
      <c r="D38" s="769" t="str">
        <f t="shared" si="1"/>
        <v/>
      </c>
      <c r="E38" s="769" t="str">
        <f t="shared" si="2"/>
        <v/>
      </c>
      <c r="F38" s="769" t="str">
        <f t="shared" si="3"/>
        <v/>
      </c>
      <c r="G38" s="769" t="str">
        <f t="shared" si="4"/>
        <v/>
      </c>
      <c r="H38" s="450" t="str">
        <f t="shared" si="11"/>
        <v/>
      </c>
      <c r="I38" s="211" t="str">
        <f t="shared" si="12"/>
        <v/>
      </c>
      <c r="J38" s="211" t="str">
        <f t="shared" si="13"/>
        <v/>
      </c>
      <c r="K38" s="211" t="str">
        <f t="shared" si="14"/>
        <v/>
      </c>
      <c r="L38" s="752" t="str">
        <f t="shared" si="15"/>
        <v/>
      </c>
      <c r="M38" s="94"/>
      <c r="O38" s="730"/>
      <c r="Q38" s="724"/>
      <c r="R38" s="732"/>
      <c r="S38" s="732"/>
    </row>
    <row r="39" spans="1:23" ht="13">
      <c r="A39" s="225"/>
      <c r="B39" s="375">
        <v>18</v>
      </c>
      <c r="C39" s="771" t="str">
        <f t="shared" si="0"/>
        <v/>
      </c>
      <c r="D39" s="769" t="str">
        <f t="shared" si="1"/>
        <v/>
      </c>
      <c r="E39" s="769" t="str">
        <f t="shared" si="2"/>
        <v/>
      </c>
      <c r="F39" s="769" t="str">
        <f t="shared" si="3"/>
        <v/>
      </c>
      <c r="G39" s="769" t="str">
        <f t="shared" si="4"/>
        <v/>
      </c>
      <c r="H39" s="450" t="str">
        <f t="shared" si="11"/>
        <v/>
      </c>
      <c r="I39" s="211" t="str">
        <f t="shared" si="12"/>
        <v/>
      </c>
      <c r="J39" s="211" t="str">
        <f t="shared" si="13"/>
        <v/>
      </c>
      <c r="K39" s="211" t="str">
        <f t="shared" si="14"/>
        <v/>
      </c>
      <c r="L39" s="752" t="str">
        <f t="shared" si="15"/>
        <v/>
      </c>
      <c r="M39" s="94"/>
      <c r="Q39" s="724"/>
      <c r="R39" s="732"/>
      <c r="S39" s="732"/>
      <c r="W39" s="704"/>
    </row>
    <row r="40" spans="1:23" ht="13">
      <c r="A40" s="225"/>
      <c r="B40" s="375">
        <v>19</v>
      </c>
      <c r="C40" s="771" t="str">
        <f t="shared" si="0"/>
        <v/>
      </c>
      <c r="D40" s="769" t="str">
        <f t="shared" si="1"/>
        <v/>
      </c>
      <c r="E40" s="769" t="str">
        <f t="shared" si="2"/>
        <v/>
      </c>
      <c r="F40" s="769" t="str">
        <f t="shared" si="3"/>
        <v/>
      </c>
      <c r="G40" s="769" t="str">
        <f t="shared" si="4"/>
        <v/>
      </c>
      <c r="H40" s="450" t="str">
        <f t="shared" si="11"/>
        <v/>
      </c>
      <c r="I40" s="211" t="str">
        <f t="shared" si="12"/>
        <v/>
      </c>
      <c r="J40" s="211" t="str">
        <f t="shared" si="13"/>
        <v/>
      </c>
      <c r="K40" s="211" t="str">
        <f t="shared" si="14"/>
        <v/>
      </c>
      <c r="L40" s="752" t="str">
        <f t="shared" si="15"/>
        <v/>
      </c>
      <c r="M40" s="251"/>
      <c r="O40" s="723"/>
      <c r="Q40" s="724"/>
      <c r="R40" s="725"/>
      <c r="S40" s="725"/>
    </row>
    <row r="41" spans="1:23" ht="13">
      <c r="A41" s="225"/>
      <c r="B41" s="375">
        <v>20</v>
      </c>
      <c r="C41" s="771" t="str">
        <f t="shared" si="0"/>
        <v/>
      </c>
      <c r="D41" s="769" t="str">
        <f t="shared" si="1"/>
        <v/>
      </c>
      <c r="E41" s="769" t="str">
        <f t="shared" si="2"/>
        <v/>
      </c>
      <c r="F41" s="769" t="str">
        <f t="shared" si="3"/>
        <v/>
      </c>
      <c r="G41" s="769" t="str">
        <f t="shared" si="4"/>
        <v/>
      </c>
      <c r="H41" s="450" t="str">
        <f t="shared" si="11"/>
        <v/>
      </c>
      <c r="I41" s="211" t="str">
        <f t="shared" si="12"/>
        <v/>
      </c>
      <c r="J41" s="211" t="str">
        <f t="shared" si="13"/>
        <v/>
      </c>
      <c r="K41" s="211" t="str">
        <f t="shared" si="14"/>
        <v/>
      </c>
      <c r="L41" s="752" t="str">
        <f t="shared" si="15"/>
        <v/>
      </c>
      <c r="M41" s="94"/>
      <c r="Q41" s="724"/>
      <c r="R41" s="725"/>
      <c r="S41" s="724"/>
      <c r="U41" s="109"/>
    </row>
    <row r="42" spans="1:23" ht="13">
      <c r="A42" s="225"/>
      <c r="B42" s="375">
        <v>21</v>
      </c>
      <c r="C42" s="771" t="str">
        <f t="shared" si="0"/>
        <v/>
      </c>
      <c r="D42" s="769" t="str">
        <f t="shared" si="1"/>
        <v/>
      </c>
      <c r="E42" s="769" t="str">
        <f t="shared" si="2"/>
        <v/>
      </c>
      <c r="F42" s="769" t="str">
        <f t="shared" si="3"/>
        <v/>
      </c>
      <c r="G42" s="769" t="str">
        <f t="shared" si="4"/>
        <v/>
      </c>
      <c r="H42" s="450" t="str">
        <f t="shared" si="11"/>
        <v/>
      </c>
      <c r="I42" s="211" t="str">
        <f t="shared" si="12"/>
        <v/>
      </c>
      <c r="J42" s="211" t="str">
        <f t="shared" si="13"/>
        <v/>
      </c>
      <c r="K42" s="211" t="str">
        <f t="shared" si="14"/>
        <v/>
      </c>
      <c r="L42" s="752" t="str">
        <f t="shared" si="15"/>
        <v/>
      </c>
      <c r="M42" s="94"/>
      <c r="Q42" s="724"/>
      <c r="R42" s="725"/>
      <c r="S42" s="724"/>
      <c r="U42" s="109"/>
    </row>
    <row r="43" spans="1:23" ht="13">
      <c r="A43" s="225"/>
      <c r="B43" s="375">
        <v>22</v>
      </c>
      <c r="C43" s="771" t="str">
        <f t="shared" si="0"/>
        <v/>
      </c>
      <c r="D43" s="769" t="str">
        <f t="shared" si="1"/>
        <v/>
      </c>
      <c r="E43" s="769" t="str">
        <f t="shared" si="2"/>
        <v/>
      </c>
      <c r="F43" s="769" t="str">
        <f t="shared" si="3"/>
        <v/>
      </c>
      <c r="G43" s="769" t="str">
        <f t="shared" si="4"/>
        <v/>
      </c>
      <c r="H43" s="450" t="str">
        <f t="shared" si="11"/>
        <v/>
      </c>
      <c r="I43" s="211" t="str">
        <f t="shared" si="12"/>
        <v/>
      </c>
      <c r="J43" s="211" t="str">
        <f t="shared" si="13"/>
        <v/>
      </c>
      <c r="K43" s="211" t="str">
        <f t="shared" si="14"/>
        <v/>
      </c>
      <c r="L43" s="752" t="str">
        <f t="shared" si="15"/>
        <v/>
      </c>
      <c r="M43" s="94"/>
      <c r="O43" s="730"/>
      <c r="Q43" s="724"/>
      <c r="R43" s="725"/>
      <c r="S43" s="725"/>
      <c r="W43" s="703"/>
    </row>
    <row r="44" spans="1:23" ht="13">
      <c r="A44" s="225"/>
      <c r="B44" s="375">
        <v>23</v>
      </c>
      <c r="C44" s="771" t="str">
        <f t="shared" si="0"/>
        <v/>
      </c>
      <c r="D44" s="769" t="str">
        <f t="shared" si="1"/>
        <v/>
      </c>
      <c r="E44" s="769" t="str">
        <f t="shared" si="2"/>
        <v/>
      </c>
      <c r="F44" s="769" t="str">
        <f t="shared" si="3"/>
        <v/>
      </c>
      <c r="G44" s="769" t="str">
        <f t="shared" si="4"/>
        <v/>
      </c>
      <c r="H44" s="450" t="str">
        <f t="shared" si="11"/>
        <v/>
      </c>
      <c r="I44" s="211" t="str">
        <f t="shared" si="12"/>
        <v/>
      </c>
      <c r="J44" s="211" t="str">
        <f t="shared" si="13"/>
        <v/>
      </c>
      <c r="K44" s="211" t="str">
        <f t="shared" si="14"/>
        <v/>
      </c>
      <c r="L44" s="752" t="str">
        <f t="shared" si="15"/>
        <v/>
      </c>
      <c r="M44" s="94"/>
      <c r="Q44" s="724"/>
      <c r="R44" s="725"/>
      <c r="S44" s="725"/>
      <c r="W44" s="708"/>
    </row>
    <row r="45" spans="1:23" ht="13">
      <c r="A45" s="225"/>
      <c r="B45" s="375">
        <v>24</v>
      </c>
      <c r="C45" s="771" t="str">
        <f t="shared" si="0"/>
        <v/>
      </c>
      <c r="D45" s="769" t="str">
        <f t="shared" si="1"/>
        <v/>
      </c>
      <c r="E45" s="769" t="str">
        <f t="shared" si="2"/>
        <v/>
      </c>
      <c r="F45" s="769" t="str">
        <f t="shared" si="3"/>
        <v/>
      </c>
      <c r="G45" s="769" t="str">
        <f t="shared" si="4"/>
        <v/>
      </c>
      <c r="H45" s="450" t="str">
        <f t="shared" si="11"/>
        <v/>
      </c>
      <c r="I45" s="211" t="str">
        <f t="shared" si="12"/>
        <v/>
      </c>
      <c r="J45" s="211" t="str">
        <f t="shared" si="13"/>
        <v/>
      </c>
      <c r="K45" s="211" t="str">
        <f t="shared" si="14"/>
        <v/>
      </c>
      <c r="L45" s="752" t="str">
        <f t="shared" si="15"/>
        <v/>
      </c>
      <c r="M45" s="251"/>
      <c r="O45" s="723"/>
      <c r="Q45" s="724"/>
      <c r="R45" s="725"/>
      <c r="S45" s="725"/>
      <c r="W45" s="109"/>
    </row>
    <row r="46" spans="1:23" ht="13">
      <c r="A46" s="225"/>
      <c r="B46" s="375">
        <v>25</v>
      </c>
      <c r="C46" s="771" t="str">
        <f t="shared" si="0"/>
        <v/>
      </c>
      <c r="D46" s="769" t="str">
        <f t="shared" si="1"/>
        <v/>
      </c>
      <c r="E46" s="769" t="str">
        <f t="shared" si="2"/>
        <v/>
      </c>
      <c r="F46" s="769" t="str">
        <f t="shared" si="3"/>
        <v/>
      </c>
      <c r="G46" s="769" t="str">
        <f t="shared" si="4"/>
        <v/>
      </c>
      <c r="H46" s="450" t="str">
        <f t="shared" si="11"/>
        <v/>
      </c>
      <c r="I46" s="211" t="str">
        <f t="shared" si="12"/>
        <v/>
      </c>
      <c r="J46" s="211" t="str">
        <f t="shared" si="13"/>
        <v/>
      </c>
      <c r="K46" s="211" t="str">
        <f t="shared" si="14"/>
        <v/>
      </c>
      <c r="L46" s="752" t="str">
        <f t="shared" si="15"/>
        <v/>
      </c>
      <c r="M46" s="94"/>
      <c r="Q46" s="724"/>
      <c r="R46" s="725"/>
      <c r="S46" s="724"/>
      <c r="U46" s="109"/>
    </row>
    <row r="47" spans="1:23" ht="13">
      <c r="A47" s="225"/>
      <c r="B47" s="375">
        <v>26</v>
      </c>
      <c r="C47" s="771" t="str">
        <f t="shared" si="0"/>
        <v/>
      </c>
      <c r="D47" s="769" t="str">
        <f t="shared" si="1"/>
        <v/>
      </c>
      <c r="E47" s="769" t="str">
        <f t="shared" si="2"/>
        <v/>
      </c>
      <c r="F47" s="769" t="str">
        <f t="shared" si="3"/>
        <v/>
      </c>
      <c r="G47" s="769" t="str">
        <f t="shared" si="4"/>
        <v/>
      </c>
      <c r="H47" s="450" t="str">
        <f t="shared" si="11"/>
        <v/>
      </c>
      <c r="I47" s="211" t="str">
        <f t="shared" si="12"/>
        <v/>
      </c>
      <c r="J47" s="211" t="str">
        <f t="shared" si="13"/>
        <v/>
      </c>
      <c r="K47" s="211" t="str">
        <f t="shared" si="14"/>
        <v/>
      </c>
      <c r="L47" s="752" t="str">
        <f t="shared" si="15"/>
        <v/>
      </c>
      <c r="M47" s="94"/>
      <c r="Q47" s="724"/>
      <c r="R47" s="725"/>
      <c r="S47" s="724"/>
      <c r="U47" s="109"/>
    </row>
    <row r="48" spans="1:23" ht="13">
      <c r="A48" s="225"/>
      <c r="B48" s="375">
        <v>27</v>
      </c>
      <c r="C48" s="771" t="str">
        <f t="shared" si="0"/>
        <v/>
      </c>
      <c r="D48" s="769" t="str">
        <f t="shared" si="1"/>
        <v/>
      </c>
      <c r="E48" s="769" t="str">
        <f t="shared" si="2"/>
        <v/>
      </c>
      <c r="F48" s="769" t="str">
        <f t="shared" si="3"/>
        <v/>
      </c>
      <c r="G48" s="769" t="str">
        <f t="shared" si="4"/>
        <v/>
      </c>
      <c r="H48" s="450" t="str">
        <f t="shared" si="11"/>
        <v/>
      </c>
      <c r="I48" s="211" t="str">
        <f t="shared" si="12"/>
        <v/>
      </c>
      <c r="J48" s="211" t="str">
        <f t="shared" si="13"/>
        <v/>
      </c>
      <c r="K48" s="211" t="str">
        <f t="shared" si="14"/>
        <v/>
      </c>
      <c r="L48" s="752" t="str">
        <f t="shared" si="15"/>
        <v/>
      </c>
      <c r="M48" s="94"/>
      <c r="O48" s="730"/>
      <c r="Q48" s="724"/>
      <c r="R48" s="725"/>
      <c r="S48" s="725"/>
    </row>
    <row r="49" spans="1:19" ht="12.75" customHeight="1">
      <c r="A49" s="225"/>
      <c r="B49" s="375">
        <v>28</v>
      </c>
      <c r="C49" s="771" t="str">
        <f t="shared" si="0"/>
        <v/>
      </c>
      <c r="D49" s="769" t="str">
        <f t="shared" si="1"/>
        <v/>
      </c>
      <c r="E49" s="769" t="str">
        <f t="shared" si="2"/>
        <v/>
      </c>
      <c r="F49" s="769" t="str">
        <f t="shared" si="3"/>
        <v/>
      </c>
      <c r="G49" s="769" t="str">
        <f t="shared" si="4"/>
        <v/>
      </c>
      <c r="H49" s="450" t="str">
        <f t="shared" si="11"/>
        <v/>
      </c>
      <c r="I49" s="211" t="str">
        <f t="shared" si="12"/>
        <v/>
      </c>
      <c r="J49" s="211" t="str">
        <f t="shared" si="13"/>
        <v/>
      </c>
      <c r="K49" s="211" t="str">
        <f t="shared" si="14"/>
        <v/>
      </c>
      <c r="L49" s="752" t="str">
        <f t="shared" si="15"/>
        <v/>
      </c>
      <c r="M49" s="94"/>
      <c r="Q49" s="737"/>
      <c r="S49" s="738"/>
    </row>
    <row r="50" spans="1:19" ht="12.75" customHeight="1">
      <c r="A50" s="225"/>
      <c r="B50" s="375">
        <v>29</v>
      </c>
      <c r="C50" s="771" t="str">
        <f t="shared" si="0"/>
        <v/>
      </c>
      <c r="D50" s="769" t="str">
        <f t="shared" si="1"/>
        <v/>
      </c>
      <c r="E50" s="769" t="str">
        <f t="shared" si="2"/>
        <v/>
      </c>
      <c r="F50" s="769" t="str">
        <f t="shared" si="3"/>
        <v/>
      </c>
      <c r="G50" s="769" t="str">
        <f t="shared" si="4"/>
        <v/>
      </c>
      <c r="H50" s="450" t="str">
        <f t="shared" si="11"/>
        <v/>
      </c>
      <c r="I50" s="211" t="str">
        <f t="shared" si="12"/>
        <v/>
      </c>
      <c r="J50" s="211" t="str">
        <f t="shared" si="13"/>
        <v/>
      </c>
      <c r="K50" s="211" t="str">
        <f t="shared" si="14"/>
        <v/>
      </c>
      <c r="L50" s="752" t="str">
        <f t="shared" si="15"/>
        <v/>
      </c>
      <c r="M50" s="94"/>
      <c r="Q50" s="737"/>
      <c r="S50" s="738"/>
    </row>
    <row r="51" spans="1:19" ht="12.75" customHeight="1">
      <c r="A51" s="225"/>
      <c r="B51" s="375">
        <v>30</v>
      </c>
      <c r="C51" s="771" t="str">
        <f t="shared" si="0"/>
        <v/>
      </c>
      <c r="D51" s="769" t="str">
        <f t="shared" si="1"/>
        <v/>
      </c>
      <c r="E51" s="769" t="str">
        <f t="shared" si="2"/>
        <v/>
      </c>
      <c r="F51" s="769" t="str">
        <f t="shared" si="3"/>
        <v/>
      </c>
      <c r="G51" s="769" t="str">
        <f t="shared" si="4"/>
        <v/>
      </c>
      <c r="H51" s="450" t="str">
        <f t="shared" si="11"/>
        <v/>
      </c>
      <c r="I51" s="211" t="str">
        <f t="shared" si="12"/>
        <v/>
      </c>
      <c r="J51" s="211" t="str">
        <f t="shared" si="13"/>
        <v/>
      </c>
      <c r="K51" s="211" t="str">
        <f t="shared" si="14"/>
        <v/>
      </c>
      <c r="L51" s="752" t="str">
        <f t="shared" si="15"/>
        <v/>
      </c>
      <c r="M51" s="94"/>
      <c r="Q51" s="737"/>
      <c r="S51" s="738"/>
    </row>
    <row r="52" spans="1:19" ht="12.75" customHeight="1">
      <c r="A52" s="225"/>
      <c r="B52" s="375">
        <v>31</v>
      </c>
      <c r="C52" s="771" t="str">
        <f t="shared" si="0"/>
        <v/>
      </c>
      <c r="D52" s="769" t="str">
        <f t="shared" si="1"/>
        <v/>
      </c>
      <c r="E52" s="769" t="str">
        <f t="shared" si="2"/>
        <v/>
      </c>
      <c r="F52" s="769" t="str">
        <f t="shared" si="3"/>
        <v/>
      </c>
      <c r="G52" s="769" t="str">
        <f t="shared" si="4"/>
        <v/>
      </c>
      <c r="H52" s="450" t="str">
        <f t="shared" si="11"/>
        <v/>
      </c>
      <c r="I52" s="211" t="str">
        <f t="shared" si="12"/>
        <v/>
      </c>
      <c r="J52" s="211" t="str">
        <f t="shared" si="13"/>
        <v/>
      </c>
      <c r="K52" s="211" t="str">
        <f t="shared" si="14"/>
        <v/>
      </c>
      <c r="L52" s="752" t="str">
        <f t="shared" si="15"/>
        <v/>
      </c>
      <c r="M52" s="94"/>
      <c r="Q52" s="737"/>
      <c r="S52" s="738"/>
    </row>
    <row r="53" spans="1:19" ht="12.75" customHeight="1">
      <c r="A53" s="225"/>
      <c r="B53" s="375">
        <v>32</v>
      </c>
      <c r="C53" s="771" t="str">
        <f t="shared" si="0"/>
        <v/>
      </c>
      <c r="D53" s="769" t="str">
        <f t="shared" si="1"/>
        <v/>
      </c>
      <c r="E53" s="769" t="str">
        <f t="shared" si="2"/>
        <v/>
      </c>
      <c r="F53" s="769" t="str">
        <f t="shared" si="3"/>
        <v/>
      </c>
      <c r="G53" s="769" t="str">
        <f t="shared" si="4"/>
        <v/>
      </c>
      <c r="H53" s="450" t="str">
        <f t="shared" si="11"/>
        <v/>
      </c>
      <c r="I53" s="211" t="str">
        <f t="shared" si="12"/>
        <v/>
      </c>
      <c r="J53" s="211" t="str">
        <f t="shared" si="13"/>
        <v/>
      </c>
      <c r="K53" s="211" t="str">
        <f t="shared" si="14"/>
        <v/>
      </c>
      <c r="L53" s="752" t="str">
        <f t="shared" si="15"/>
        <v/>
      </c>
      <c r="M53" s="94"/>
      <c r="Q53" s="737"/>
      <c r="S53" s="738"/>
    </row>
    <row r="54" spans="1:19" ht="12.75" customHeight="1">
      <c r="A54" s="225"/>
      <c r="B54" s="375">
        <v>33</v>
      </c>
      <c r="C54" s="771" t="str">
        <f t="shared" ref="C54:C85" si="16">IF($F$4&gt;=$B54,VLOOKUP(CONCATENATE("delinquency_",$B54),delinquencies,2,0),"")</f>
        <v/>
      </c>
      <c r="D54" s="769" t="str">
        <f t="shared" ref="D54:D85" si="17">IF($F$4&gt;=$B54,VLOOKUP(CONCATENATE("delinquency_",$B54),delinquencies,3,0),"")</f>
        <v/>
      </c>
      <c r="E54" s="769" t="str">
        <f t="shared" ref="E54:E85" si="18">IF($F$4&gt;=$B54,VLOOKUP(CONCATENATE("delinquency_",$B54),delinquencies,4,0),"")</f>
        <v/>
      </c>
      <c r="F54" s="769" t="str">
        <f t="shared" ref="F54:F85" si="19">IF($F$4&gt;=$B54,VLOOKUP(CONCATENATE("delinquency_",$B54),delinquencies,5,0),"")</f>
        <v/>
      </c>
      <c r="G54" s="769" t="str">
        <f t="shared" ref="G54:G85" si="20">IF($F$4&gt;=$B54,VLOOKUP(CONCATENATE("delinquency_",$B54),delinquencies,6,0),"")</f>
        <v/>
      </c>
      <c r="H54" s="450" t="str">
        <f t="shared" si="11"/>
        <v/>
      </c>
      <c r="I54" s="211" t="str">
        <f t="shared" si="12"/>
        <v/>
      </c>
      <c r="J54" s="211" t="str">
        <f t="shared" si="13"/>
        <v/>
      </c>
      <c r="K54" s="211" t="str">
        <f t="shared" si="14"/>
        <v/>
      </c>
      <c r="L54" s="752" t="str">
        <f t="shared" si="15"/>
        <v/>
      </c>
      <c r="M54" s="94"/>
      <c r="Q54" s="737"/>
      <c r="S54" s="738"/>
    </row>
    <row r="55" spans="1:19" ht="12.75" customHeight="1">
      <c r="A55" s="225"/>
      <c r="B55" s="375">
        <v>34</v>
      </c>
      <c r="C55" s="771" t="str">
        <f t="shared" si="16"/>
        <v/>
      </c>
      <c r="D55" s="769" t="str">
        <f t="shared" si="17"/>
        <v/>
      </c>
      <c r="E55" s="769" t="str">
        <f t="shared" si="18"/>
        <v/>
      </c>
      <c r="F55" s="769" t="str">
        <f t="shared" si="19"/>
        <v/>
      </c>
      <c r="G55" s="769" t="str">
        <f t="shared" si="20"/>
        <v/>
      </c>
      <c r="H55" s="450" t="str">
        <f t="shared" si="11"/>
        <v/>
      </c>
      <c r="I55" s="211" t="str">
        <f t="shared" si="12"/>
        <v/>
      </c>
      <c r="J55" s="211" t="str">
        <f t="shared" si="13"/>
        <v/>
      </c>
      <c r="K55" s="211" t="str">
        <f t="shared" si="14"/>
        <v/>
      </c>
      <c r="L55" s="752" t="str">
        <f t="shared" si="15"/>
        <v/>
      </c>
      <c r="M55" s="94"/>
      <c r="Q55" s="737"/>
      <c r="S55" s="738"/>
    </row>
    <row r="56" spans="1:19" ht="12.75" customHeight="1">
      <c r="A56" s="225"/>
      <c r="B56" s="375">
        <v>35</v>
      </c>
      <c r="C56" s="771" t="str">
        <f t="shared" si="16"/>
        <v/>
      </c>
      <c r="D56" s="769" t="str">
        <f t="shared" si="17"/>
        <v/>
      </c>
      <c r="E56" s="769" t="str">
        <f t="shared" si="18"/>
        <v/>
      </c>
      <c r="F56" s="769" t="str">
        <f t="shared" si="19"/>
        <v/>
      </c>
      <c r="G56" s="769" t="str">
        <f t="shared" si="20"/>
        <v/>
      </c>
      <c r="H56" s="450" t="str">
        <f t="shared" si="11"/>
        <v/>
      </c>
      <c r="I56" s="211" t="str">
        <f t="shared" si="12"/>
        <v/>
      </c>
      <c r="J56" s="211" t="str">
        <f t="shared" si="13"/>
        <v/>
      </c>
      <c r="K56" s="211" t="str">
        <f t="shared" si="14"/>
        <v/>
      </c>
      <c r="L56" s="752" t="str">
        <f t="shared" si="15"/>
        <v/>
      </c>
      <c r="M56" s="94"/>
      <c r="Q56" s="737"/>
      <c r="S56" s="738"/>
    </row>
    <row r="57" spans="1:19" ht="12.75" customHeight="1">
      <c r="A57" s="225"/>
      <c r="B57" s="375">
        <v>36</v>
      </c>
      <c r="C57" s="771" t="str">
        <f t="shared" si="16"/>
        <v/>
      </c>
      <c r="D57" s="769" t="str">
        <f t="shared" si="17"/>
        <v/>
      </c>
      <c r="E57" s="769" t="str">
        <f t="shared" si="18"/>
        <v/>
      </c>
      <c r="F57" s="769" t="str">
        <f t="shared" si="19"/>
        <v/>
      </c>
      <c r="G57" s="769" t="str">
        <f t="shared" si="20"/>
        <v/>
      </c>
      <c r="H57" s="450" t="str">
        <f t="shared" si="11"/>
        <v/>
      </c>
      <c r="I57" s="211" t="str">
        <f t="shared" si="12"/>
        <v/>
      </c>
      <c r="J57" s="211" t="str">
        <f t="shared" si="13"/>
        <v/>
      </c>
      <c r="K57" s="211" t="str">
        <f t="shared" si="14"/>
        <v/>
      </c>
      <c r="L57" s="752" t="str">
        <f t="shared" si="15"/>
        <v/>
      </c>
      <c r="M57" s="94"/>
      <c r="Q57" s="737"/>
      <c r="S57" s="738"/>
    </row>
    <row r="58" spans="1:19" ht="12.75" customHeight="1">
      <c r="A58" s="225"/>
      <c r="B58" s="375">
        <v>37</v>
      </c>
      <c r="C58" s="771" t="str">
        <f t="shared" si="16"/>
        <v/>
      </c>
      <c r="D58" s="769" t="str">
        <f t="shared" si="17"/>
        <v/>
      </c>
      <c r="E58" s="769" t="str">
        <f t="shared" si="18"/>
        <v/>
      </c>
      <c r="F58" s="769" t="str">
        <f t="shared" si="19"/>
        <v/>
      </c>
      <c r="G58" s="769" t="str">
        <f t="shared" si="20"/>
        <v/>
      </c>
      <c r="H58" s="450" t="str">
        <f t="shared" si="11"/>
        <v/>
      </c>
      <c r="I58" s="211" t="str">
        <f t="shared" si="12"/>
        <v/>
      </c>
      <c r="J58" s="211" t="str">
        <f t="shared" si="13"/>
        <v/>
      </c>
      <c r="K58" s="211" t="str">
        <f t="shared" si="14"/>
        <v/>
      </c>
      <c r="L58" s="752" t="str">
        <f t="shared" si="15"/>
        <v/>
      </c>
      <c r="M58" s="94"/>
      <c r="Q58" s="737"/>
      <c r="S58" s="738"/>
    </row>
    <row r="59" spans="1:19" ht="12.75" customHeight="1">
      <c r="A59" s="225"/>
      <c r="B59" s="375">
        <v>38</v>
      </c>
      <c r="C59" s="771" t="str">
        <f t="shared" si="16"/>
        <v/>
      </c>
      <c r="D59" s="769" t="str">
        <f t="shared" si="17"/>
        <v/>
      </c>
      <c r="E59" s="769" t="str">
        <f t="shared" si="18"/>
        <v/>
      </c>
      <c r="F59" s="769" t="str">
        <f t="shared" si="19"/>
        <v/>
      </c>
      <c r="G59" s="769" t="str">
        <f t="shared" si="20"/>
        <v/>
      </c>
      <c r="H59" s="450" t="str">
        <f t="shared" si="11"/>
        <v/>
      </c>
      <c r="I59" s="211" t="str">
        <f t="shared" si="12"/>
        <v/>
      </c>
      <c r="J59" s="211" t="str">
        <f t="shared" si="13"/>
        <v/>
      </c>
      <c r="K59" s="211" t="str">
        <f t="shared" si="14"/>
        <v/>
      </c>
      <c r="L59" s="752" t="str">
        <f t="shared" si="15"/>
        <v/>
      </c>
      <c r="M59" s="94"/>
      <c r="Q59" s="737"/>
      <c r="S59" s="738"/>
    </row>
    <row r="60" spans="1:19" ht="12.75" customHeight="1">
      <c r="A60" s="225"/>
      <c r="B60" s="375">
        <v>39</v>
      </c>
      <c r="C60" s="771" t="str">
        <f t="shared" si="16"/>
        <v/>
      </c>
      <c r="D60" s="769" t="str">
        <f t="shared" si="17"/>
        <v/>
      </c>
      <c r="E60" s="769" t="str">
        <f t="shared" si="18"/>
        <v/>
      </c>
      <c r="F60" s="769" t="str">
        <f t="shared" si="19"/>
        <v/>
      </c>
      <c r="G60" s="769" t="str">
        <f t="shared" si="20"/>
        <v/>
      </c>
      <c r="H60" s="450" t="str">
        <f t="shared" si="11"/>
        <v/>
      </c>
      <c r="I60" s="211" t="str">
        <f t="shared" si="12"/>
        <v/>
      </c>
      <c r="J60" s="211" t="str">
        <f t="shared" si="13"/>
        <v/>
      </c>
      <c r="K60" s="211" t="str">
        <f t="shared" si="14"/>
        <v/>
      </c>
      <c r="L60" s="752" t="str">
        <f t="shared" si="15"/>
        <v/>
      </c>
      <c r="M60" s="94"/>
      <c r="Q60" s="737"/>
      <c r="S60" s="738"/>
    </row>
    <row r="61" spans="1:19" ht="12.75" customHeight="1">
      <c r="A61" s="225"/>
      <c r="B61" s="375">
        <v>40</v>
      </c>
      <c r="C61" s="771" t="str">
        <f t="shared" si="16"/>
        <v/>
      </c>
      <c r="D61" s="769" t="str">
        <f t="shared" si="17"/>
        <v/>
      </c>
      <c r="E61" s="769" t="str">
        <f t="shared" si="18"/>
        <v/>
      </c>
      <c r="F61" s="769" t="str">
        <f t="shared" si="19"/>
        <v/>
      </c>
      <c r="G61" s="769" t="str">
        <f t="shared" si="20"/>
        <v/>
      </c>
      <c r="H61" s="450" t="str">
        <f t="shared" si="11"/>
        <v/>
      </c>
      <c r="I61" s="211" t="str">
        <f t="shared" si="12"/>
        <v/>
      </c>
      <c r="J61" s="211" t="str">
        <f t="shared" si="13"/>
        <v/>
      </c>
      <c r="K61" s="211" t="str">
        <f t="shared" si="14"/>
        <v/>
      </c>
      <c r="L61" s="752" t="str">
        <f t="shared" si="15"/>
        <v/>
      </c>
      <c r="M61" s="94"/>
      <c r="Q61" s="737"/>
      <c r="S61" s="738"/>
    </row>
    <row r="62" spans="1:19" ht="12.75" customHeight="1">
      <c r="A62" s="225"/>
      <c r="B62" s="375">
        <v>41</v>
      </c>
      <c r="C62" s="771" t="str">
        <f t="shared" si="16"/>
        <v/>
      </c>
      <c r="D62" s="769" t="str">
        <f t="shared" si="17"/>
        <v/>
      </c>
      <c r="E62" s="769" t="str">
        <f t="shared" si="18"/>
        <v/>
      </c>
      <c r="F62" s="769" t="str">
        <f t="shared" si="19"/>
        <v/>
      </c>
      <c r="G62" s="769" t="str">
        <f t="shared" si="20"/>
        <v/>
      </c>
      <c r="H62" s="450" t="str">
        <f t="shared" si="11"/>
        <v/>
      </c>
      <c r="I62" s="211" t="str">
        <f t="shared" si="12"/>
        <v/>
      </c>
      <c r="J62" s="211" t="str">
        <f t="shared" si="13"/>
        <v/>
      </c>
      <c r="K62" s="211" t="str">
        <f t="shared" si="14"/>
        <v/>
      </c>
      <c r="L62" s="752" t="str">
        <f t="shared" si="15"/>
        <v/>
      </c>
      <c r="M62" s="94"/>
      <c r="Q62" s="737"/>
      <c r="S62" s="738"/>
    </row>
    <row r="63" spans="1:19" ht="12.75" customHeight="1">
      <c r="A63" s="225"/>
      <c r="B63" s="375">
        <v>42</v>
      </c>
      <c r="C63" s="771" t="str">
        <f t="shared" si="16"/>
        <v/>
      </c>
      <c r="D63" s="769" t="str">
        <f t="shared" si="17"/>
        <v/>
      </c>
      <c r="E63" s="769" t="str">
        <f t="shared" si="18"/>
        <v/>
      </c>
      <c r="F63" s="769" t="str">
        <f t="shared" si="19"/>
        <v/>
      </c>
      <c r="G63" s="769" t="str">
        <f t="shared" si="20"/>
        <v/>
      </c>
      <c r="H63" s="450" t="str">
        <f t="shared" si="11"/>
        <v/>
      </c>
      <c r="I63" s="211" t="str">
        <f t="shared" si="12"/>
        <v/>
      </c>
      <c r="J63" s="211" t="str">
        <f t="shared" si="13"/>
        <v/>
      </c>
      <c r="K63" s="211" t="str">
        <f t="shared" si="14"/>
        <v/>
      </c>
      <c r="L63" s="752" t="str">
        <f t="shared" si="15"/>
        <v/>
      </c>
      <c r="M63" s="94"/>
      <c r="Q63" s="737"/>
      <c r="S63" s="738"/>
    </row>
    <row r="64" spans="1:19" ht="12.75" customHeight="1">
      <c r="A64" s="225"/>
      <c r="B64" s="375">
        <v>43</v>
      </c>
      <c r="C64" s="771" t="str">
        <f t="shared" si="16"/>
        <v/>
      </c>
      <c r="D64" s="769" t="str">
        <f t="shared" si="17"/>
        <v/>
      </c>
      <c r="E64" s="769" t="str">
        <f t="shared" si="18"/>
        <v/>
      </c>
      <c r="F64" s="769" t="str">
        <f t="shared" si="19"/>
        <v/>
      </c>
      <c r="G64" s="769" t="str">
        <f t="shared" si="20"/>
        <v/>
      </c>
      <c r="H64" s="450" t="str">
        <f t="shared" si="11"/>
        <v/>
      </c>
      <c r="I64" s="211" t="str">
        <f t="shared" si="12"/>
        <v/>
      </c>
      <c r="J64" s="211" t="str">
        <f t="shared" si="13"/>
        <v/>
      </c>
      <c r="K64" s="211" t="str">
        <f t="shared" si="14"/>
        <v/>
      </c>
      <c r="L64" s="752" t="str">
        <f t="shared" si="15"/>
        <v/>
      </c>
      <c r="M64" s="94"/>
      <c r="Q64" s="737"/>
      <c r="S64" s="738"/>
    </row>
    <row r="65" spans="1:19" ht="12.75" customHeight="1">
      <c r="A65" s="225"/>
      <c r="B65" s="375">
        <v>44</v>
      </c>
      <c r="C65" s="771" t="str">
        <f t="shared" si="16"/>
        <v/>
      </c>
      <c r="D65" s="769" t="str">
        <f t="shared" si="17"/>
        <v/>
      </c>
      <c r="E65" s="769" t="str">
        <f t="shared" si="18"/>
        <v/>
      </c>
      <c r="F65" s="769" t="str">
        <f t="shared" si="19"/>
        <v/>
      </c>
      <c r="G65" s="769" t="str">
        <f t="shared" si="20"/>
        <v/>
      </c>
      <c r="H65" s="450" t="str">
        <f t="shared" si="11"/>
        <v/>
      </c>
      <c r="I65" s="211" t="str">
        <f t="shared" si="12"/>
        <v/>
      </c>
      <c r="J65" s="211" t="str">
        <f t="shared" si="13"/>
        <v/>
      </c>
      <c r="K65" s="211" t="str">
        <f t="shared" si="14"/>
        <v/>
      </c>
      <c r="L65" s="752" t="str">
        <f t="shared" si="15"/>
        <v/>
      </c>
      <c r="M65" s="94"/>
      <c r="Q65" s="737"/>
      <c r="S65" s="738"/>
    </row>
    <row r="66" spans="1:19" ht="12.75" customHeight="1">
      <c r="A66" s="225"/>
      <c r="B66" s="375">
        <v>45</v>
      </c>
      <c r="C66" s="771" t="str">
        <f t="shared" si="16"/>
        <v/>
      </c>
      <c r="D66" s="769" t="str">
        <f t="shared" si="17"/>
        <v/>
      </c>
      <c r="E66" s="769" t="str">
        <f t="shared" si="18"/>
        <v/>
      </c>
      <c r="F66" s="769" t="str">
        <f t="shared" si="19"/>
        <v/>
      </c>
      <c r="G66" s="769" t="str">
        <f t="shared" si="20"/>
        <v/>
      </c>
      <c r="H66" s="450" t="str">
        <f t="shared" si="11"/>
        <v/>
      </c>
      <c r="I66" s="211" t="str">
        <f t="shared" si="12"/>
        <v/>
      </c>
      <c r="J66" s="211" t="str">
        <f t="shared" si="13"/>
        <v/>
      </c>
      <c r="K66" s="211" t="str">
        <f t="shared" si="14"/>
        <v/>
      </c>
      <c r="L66" s="752" t="str">
        <f t="shared" si="15"/>
        <v/>
      </c>
      <c r="M66" s="94"/>
      <c r="Q66" s="737"/>
      <c r="S66" s="738"/>
    </row>
    <row r="67" spans="1:19" ht="12.75" customHeight="1">
      <c r="A67" s="225"/>
      <c r="B67" s="375">
        <v>46</v>
      </c>
      <c r="C67" s="771" t="str">
        <f t="shared" si="16"/>
        <v/>
      </c>
      <c r="D67" s="769" t="str">
        <f t="shared" si="17"/>
        <v/>
      </c>
      <c r="E67" s="769" t="str">
        <f t="shared" si="18"/>
        <v/>
      </c>
      <c r="F67" s="769" t="str">
        <f t="shared" si="19"/>
        <v/>
      </c>
      <c r="G67" s="769" t="str">
        <f t="shared" si="20"/>
        <v/>
      </c>
      <c r="H67" s="450" t="str">
        <f t="shared" si="11"/>
        <v/>
      </c>
      <c r="I67" s="211" t="str">
        <f t="shared" si="12"/>
        <v/>
      </c>
      <c r="J67" s="211" t="str">
        <f t="shared" si="13"/>
        <v/>
      </c>
      <c r="K67" s="211" t="str">
        <f t="shared" si="14"/>
        <v/>
      </c>
      <c r="L67" s="752" t="str">
        <f t="shared" si="15"/>
        <v/>
      </c>
      <c r="M67" s="94"/>
      <c r="Q67" s="737"/>
      <c r="S67" s="738"/>
    </row>
    <row r="68" spans="1:19" ht="12.75" customHeight="1">
      <c r="A68" s="225"/>
      <c r="B68" s="375">
        <v>47</v>
      </c>
      <c r="C68" s="771" t="str">
        <f t="shared" si="16"/>
        <v/>
      </c>
      <c r="D68" s="769" t="str">
        <f t="shared" si="17"/>
        <v/>
      </c>
      <c r="E68" s="769" t="str">
        <f t="shared" si="18"/>
        <v/>
      </c>
      <c r="F68" s="769" t="str">
        <f t="shared" si="19"/>
        <v/>
      </c>
      <c r="G68" s="769" t="str">
        <f t="shared" si="20"/>
        <v/>
      </c>
      <c r="H68" s="450" t="str">
        <f t="shared" si="11"/>
        <v/>
      </c>
      <c r="I68" s="211" t="str">
        <f t="shared" si="12"/>
        <v/>
      </c>
      <c r="J68" s="211" t="str">
        <f t="shared" si="13"/>
        <v/>
      </c>
      <c r="K68" s="211" t="str">
        <f t="shared" si="14"/>
        <v/>
      </c>
      <c r="L68" s="752" t="str">
        <f t="shared" si="15"/>
        <v/>
      </c>
      <c r="M68" s="94"/>
      <c r="Q68" s="737"/>
      <c r="S68" s="738"/>
    </row>
    <row r="69" spans="1:19" ht="12.75" customHeight="1">
      <c r="A69" s="225"/>
      <c r="B69" s="375">
        <v>48</v>
      </c>
      <c r="C69" s="771" t="str">
        <f t="shared" si="16"/>
        <v/>
      </c>
      <c r="D69" s="769" t="str">
        <f t="shared" si="17"/>
        <v/>
      </c>
      <c r="E69" s="769" t="str">
        <f t="shared" si="18"/>
        <v/>
      </c>
      <c r="F69" s="769" t="str">
        <f t="shared" si="19"/>
        <v/>
      </c>
      <c r="G69" s="769" t="str">
        <f t="shared" si="20"/>
        <v/>
      </c>
      <c r="H69" s="450" t="str">
        <f t="shared" si="11"/>
        <v/>
      </c>
      <c r="I69" s="211" t="str">
        <f t="shared" si="12"/>
        <v/>
      </c>
      <c r="J69" s="211" t="str">
        <f t="shared" si="13"/>
        <v/>
      </c>
      <c r="K69" s="211" t="str">
        <f t="shared" si="14"/>
        <v/>
      </c>
      <c r="L69" s="752" t="str">
        <f t="shared" si="15"/>
        <v/>
      </c>
      <c r="M69" s="94"/>
      <c r="Q69" s="737"/>
      <c r="S69" s="738"/>
    </row>
    <row r="70" spans="1:19" ht="12.75" customHeight="1">
      <c r="A70" s="225"/>
      <c r="B70" s="375">
        <v>49</v>
      </c>
      <c r="C70" s="771" t="str">
        <f t="shared" si="16"/>
        <v/>
      </c>
      <c r="D70" s="769" t="str">
        <f t="shared" si="17"/>
        <v/>
      </c>
      <c r="E70" s="769" t="str">
        <f t="shared" si="18"/>
        <v/>
      </c>
      <c r="F70" s="769" t="str">
        <f t="shared" si="19"/>
        <v/>
      </c>
      <c r="G70" s="769" t="str">
        <f t="shared" si="20"/>
        <v/>
      </c>
      <c r="H70" s="450" t="str">
        <f t="shared" si="11"/>
        <v/>
      </c>
      <c r="I70" s="211" t="str">
        <f t="shared" si="12"/>
        <v/>
      </c>
      <c r="J70" s="211" t="str">
        <f t="shared" si="13"/>
        <v/>
      </c>
      <c r="K70" s="211" t="str">
        <f t="shared" si="14"/>
        <v/>
      </c>
      <c r="L70" s="752" t="str">
        <f t="shared" si="15"/>
        <v/>
      </c>
      <c r="M70" s="94"/>
      <c r="Q70" s="737"/>
      <c r="S70" s="738"/>
    </row>
    <row r="71" spans="1:19" ht="12.75" customHeight="1">
      <c r="A71" s="225"/>
      <c r="B71" s="375">
        <v>50</v>
      </c>
      <c r="C71" s="771" t="str">
        <f t="shared" si="16"/>
        <v/>
      </c>
      <c r="D71" s="769" t="str">
        <f t="shared" si="17"/>
        <v/>
      </c>
      <c r="E71" s="769" t="str">
        <f t="shared" si="18"/>
        <v/>
      </c>
      <c r="F71" s="769" t="str">
        <f t="shared" si="19"/>
        <v/>
      </c>
      <c r="G71" s="769" t="str">
        <f t="shared" si="20"/>
        <v/>
      </c>
      <c r="H71" s="450" t="str">
        <f t="shared" si="11"/>
        <v/>
      </c>
      <c r="I71" s="211" t="str">
        <f t="shared" si="12"/>
        <v/>
      </c>
      <c r="J71" s="211" t="str">
        <f t="shared" si="13"/>
        <v/>
      </c>
      <c r="K71" s="211" t="str">
        <f t="shared" si="14"/>
        <v/>
      </c>
      <c r="L71" s="752" t="str">
        <f t="shared" si="15"/>
        <v/>
      </c>
      <c r="M71" s="94"/>
      <c r="Q71" s="737"/>
      <c r="S71" s="738"/>
    </row>
    <row r="72" spans="1:19" ht="12.75" customHeight="1">
      <c r="A72" s="225"/>
      <c r="B72" s="375">
        <v>51</v>
      </c>
      <c r="C72" s="771" t="str">
        <f t="shared" si="16"/>
        <v/>
      </c>
      <c r="D72" s="769" t="str">
        <f t="shared" si="17"/>
        <v/>
      </c>
      <c r="E72" s="769" t="str">
        <f t="shared" si="18"/>
        <v/>
      </c>
      <c r="F72" s="769" t="str">
        <f t="shared" si="19"/>
        <v/>
      </c>
      <c r="G72" s="769" t="str">
        <f t="shared" si="20"/>
        <v/>
      </c>
      <c r="H72" s="450" t="str">
        <f t="shared" si="11"/>
        <v/>
      </c>
      <c r="I72" s="211" t="str">
        <f t="shared" si="12"/>
        <v/>
      </c>
      <c r="J72" s="211" t="str">
        <f t="shared" si="13"/>
        <v/>
      </c>
      <c r="K72" s="211" t="str">
        <f t="shared" si="14"/>
        <v/>
      </c>
      <c r="L72" s="752" t="str">
        <f t="shared" si="15"/>
        <v/>
      </c>
      <c r="M72" s="94"/>
      <c r="Q72" s="737"/>
      <c r="S72" s="738"/>
    </row>
    <row r="73" spans="1:19" ht="12.75" customHeight="1">
      <c r="A73" s="225"/>
      <c r="B73" s="375">
        <v>52</v>
      </c>
      <c r="C73" s="771" t="str">
        <f t="shared" si="16"/>
        <v/>
      </c>
      <c r="D73" s="769" t="str">
        <f t="shared" si="17"/>
        <v/>
      </c>
      <c r="E73" s="769" t="str">
        <f t="shared" si="18"/>
        <v/>
      </c>
      <c r="F73" s="769" t="str">
        <f t="shared" si="19"/>
        <v/>
      </c>
      <c r="G73" s="769" t="str">
        <f t="shared" si="20"/>
        <v/>
      </c>
      <c r="H73" s="450" t="str">
        <f t="shared" si="11"/>
        <v/>
      </c>
      <c r="I73" s="211" t="str">
        <f t="shared" si="12"/>
        <v/>
      </c>
      <c r="J73" s="211" t="str">
        <f t="shared" si="13"/>
        <v/>
      </c>
      <c r="K73" s="211" t="str">
        <f t="shared" si="14"/>
        <v/>
      </c>
      <c r="L73" s="752" t="str">
        <f t="shared" si="15"/>
        <v/>
      </c>
      <c r="M73" s="94"/>
      <c r="Q73" s="737"/>
      <c r="S73" s="738"/>
    </row>
    <row r="74" spans="1:19" ht="12.75" customHeight="1">
      <c r="A74" s="225"/>
      <c r="B74" s="375">
        <v>53</v>
      </c>
      <c r="C74" s="771" t="str">
        <f t="shared" si="16"/>
        <v/>
      </c>
      <c r="D74" s="769" t="str">
        <f t="shared" si="17"/>
        <v/>
      </c>
      <c r="E74" s="769" t="str">
        <f t="shared" si="18"/>
        <v/>
      </c>
      <c r="F74" s="769" t="str">
        <f t="shared" si="19"/>
        <v/>
      </c>
      <c r="G74" s="769" t="str">
        <f t="shared" si="20"/>
        <v/>
      </c>
      <c r="H74" s="450" t="str">
        <f t="shared" si="11"/>
        <v/>
      </c>
      <c r="I74" s="211" t="str">
        <f t="shared" si="12"/>
        <v/>
      </c>
      <c r="J74" s="211" t="str">
        <f t="shared" si="13"/>
        <v/>
      </c>
      <c r="K74" s="211" t="str">
        <f t="shared" si="14"/>
        <v/>
      </c>
      <c r="L74" s="752" t="str">
        <f t="shared" si="15"/>
        <v/>
      </c>
      <c r="M74" s="94"/>
      <c r="Q74" s="737"/>
      <c r="S74" s="738"/>
    </row>
    <row r="75" spans="1:19" ht="12.75" customHeight="1">
      <c r="A75" s="225"/>
      <c r="B75" s="375">
        <v>54</v>
      </c>
      <c r="C75" s="771" t="str">
        <f t="shared" si="16"/>
        <v/>
      </c>
      <c r="D75" s="769" t="str">
        <f t="shared" si="17"/>
        <v/>
      </c>
      <c r="E75" s="769" t="str">
        <f t="shared" si="18"/>
        <v/>
      </c>
      <c r="F75" s="769" t="str">
        <f t="shared" si="19"/>
        <v/>
      </c>
      <c r="G75" s="769" t="str">
        <f t="shared" si="20"/>
        <v/>
      </c>
      <c r="H75" s="450" t="str">
        <f t="shared" si="11"/>
        <v/>
      </c>
      <c r="I75" s="211" t="str">
        <f t="shared" si="12"/>
        <v/>
      </c>
      <c r="J75" s="211" t="str">
        <f t="shared" si="13"/>
        <v/>
      </c>
      <c r="K75" s="211" t="str">
        <f t="shared" si="14"/>
        <v/>
      </c>
      <c r="L75" s="752" t="str">
        <f t="shared" si="15"/>
        <v/>
      </c>
      <c r="M75" s="94"/>
      <c r="Q75" s="737"/>
      <c r="S75" s="738"/>
    </row>
    <row r="76" spans="1:19" ht="12.75" customHeight="1">
      <c r="A76" s="225"/>
      <c r="B76" s="375">
        <v>55</v>
      </c>
      <c r="C76" s="771" t="str">
        <f t="shared" si="16"/>
        <v/>
      </c>
      <c r="D76" s="769" t="str">
        <f t="shared" si="17"/>
        <v/>
      </c>
      <c r="E76" s="769" t="str">
        <f t="shared" si="18"/>
        <v/>
      </c>
      <c r="F76" s="769" t="str">
        <f t="shared" si="19"/>
        <v/>
      </c>
      <c r="G76" s="769" t="str">
        <f t="shared" si="20"/>
        <v/>
      </c>
      <c r="H76" s="450" t="str">
        <f t="shared" si="11"/>
        <v/>
      </c>
      <c r="I76" s="211" t="str">
        <f t="shared" si="12"/>
        <v/>
      </c>
      <c r="J76" s="211" t="str">
        <f t="shared" si="13"/>
        <v/>
      </c>
      <c r="K76" s="211" t="str">
        <f t="shared" si="14"/>
        <v/>
      </c>
      <c r="L76" s="752" t="str">
        <f t="shared" si="15"/>
        <v/>
      </c>
      <c r="M76" s="94"/>
      <c r="Q76" s="737"/>
      <c r="S76" s="738"/>
    </row>
    <row r="77" spans="1:19" ht="12.75" customHeight="1">
      <c r="A77" s="225"/>
      <c r="B77" s="375">
        <v>56</v>
      </c>
      <c r="C77" s="771" t="str">
        <f t="shared" si="16"/>
        <v/>
      </c>
      <c r="D77" s="769" t="str">
        <f t="shared" si="17"/>
        <v/>
      </c>
      <c r="E77" s="769" t="str">
        <f t="shared" si="18"/>
        <v/>
      </c>
      <c r="F77" s="769" t="str">
        <f t="shared" si="19"/>
        <v/>
      </c>
      <c r="G77" s="769" t="str">
        <f t="shared" si="20"/>
        <v/>
      </c>
      <c r="H77" s="450" t="str">
        <f t="shared" si="11"/>
        <v/>
      </c>
      <c r="I77" s="211" t="str">
        <f t="shared" si="12"/>
        <v/>
      </c>
      <c r="J77" s="211" t="str">
        <f t="shared" si="13"/>
        <v/>
      </c>
      <c r="K77" s="211" t="str">
        <f t="shared" si="14"/>
        <v/>
      </c>
      <c r="L77" s="752" t="str">
        <f t="shared" si="15"/>
        <v/>
      </c>
      <c r="M77" s="94"/>
      <c r="Q77" s="737"/>
      <c r="S77" s="738"/>
    </row>
    <row r="78" spans="1:19" ht="12.75" customHeight="1">
      <c r="A78" s="225"/>
      <c r="B78" s="375">
        <v>57</v>
      </c>
      <c r="C78" s="771" t="str">
        <f t="shared" si="16"/>
        <v/>
      </c>
      <c r="D78" s="769" t="str">
        <f t="shared" si="17"/>
        <v/>
      </c>
      <c r="E78" s="769" t="str">
        <f t="shared" si="18"/>
        <v/>
      </c>
      <c r="F78" s="769" t="str">
        <f t="shared" si="19"/>
        <v/>
      </c>
      <c r="G78" s="769" t="str">
        <f t="shared" si="20"/>
        <v/>
      </c>
      <c r="H78" s="450" t="str">
        <f t="shared" si="11"/>
        <v/>
      </c>
      <c r="I78" s="211" t="str">
        <f t="shared" si="12"/>
        <v/>
      </c>
      <c r="J78" s="211" t="str">
        <f t="shared" si="13"/>
        <v/>
      </c>
      <c r="K78" s="211" t="str">
        <f t="shared" si="14"/>
        <v/>
      </c>
      <c r="L78" s="752" t="str">
        <f t="shared" si="15"/>
        <v/>
      </c>
      <c r="M78" s="94"/>
      <c r="Q78" s="737"/>
      <c r="S78" s="738"/>
    </row>
    <row r="79" spans="1:19" ht="12.75" customHeight="1">
      <c r="A79" s="225"/>
      <c r="B79" s="375">
        <v>58</v>
      </c>
      <c r="C79" s="771" t="str">
        <f t="shared" si="16"/>
        <v/>
      </c>
      <c r="D79" s="769" t="str">
        <f t="shared" si="17"/>
        <v/>
      </c>
      <c r="E79" s="769" t="str">
        <f t="shared" si="18"/>
        <v/>
      </c>
      <c r="F79" s="769" t="str">
        <f t="shared" si="19"/>
        <v/>
      </c>
      <c r="G79" s="769" t="str">
        <f t="shared" si="20"/>
        <v/>
      </c>
      <c r="H79" s="450" t="str">
        <f t="shared" si="11"/>
        <v/>
      </c>
      <c r="I79" s="211" t="str">
        <f t="shared" si="12"/>
        <v/>
      </c>
      <c r="J79" s="211" t="str">
        <f t="shared" si="13"/>
        <v/>
      </c>
      <c r="K79" s="211" t="str">
        <f t="shared" si="14"/>
        <v/>
      </c>
      <c r="L79" s="752" t="str">
        <f t="shared" si="15"/>
        <v/>
      </c>
      <c r="M79" s="94"/>
      <c r="Q79" s="737"/>
      <c r="S79" s="738"/>
    </row>
    <row r="80" spans="1:19" ht="12.75" customHeight="1">
      <c r="A80" s="225"/>
      <c r="B80" s="375">
        <v>59</v>
      </c>
      <c r="C80" s="771" t="str">
        <f t="shared" si="16"/>
        <v/>
      </c>
      <c r="D80" s="769" t="str">
        <f t="shared" si="17"/>
        <v/>
      </c>
      <c r="E80" s="769" t="str">
        <f t="shared" si="18"/>
        <v/>
      </c>
      <c r="F80" s="769" t="str">
        <f t="shared" si="19"/>
        <v/>
      </c>
      <c r="G80" s="769" t="str">
        <f t="shared" si="20"/>
        <v/>
      </c>
      <c r="H80" s="450" t="str">
        <f t="shared" si="11"/>
        <v/>
      </c>
      <c r="I80" s="211" t="str">
        <f t="shared" si="12"/>
        <v/>
      </c>
      <c r="J80" s="211" t="str">
        <f t="shared" si="13"/>
        <v/>
      </c>
      <c r="K80" s="211" t="str">
        <f t="shared" si="14"/>
        <v/>
      </c>
      <c r="L80" s="752" t="str">
        <f t="shared" si="15"/>
        <v/>
      </c>
      <c r="M80" s="94"/>
      <c r="Q80" s="737"/>
      <c r="S80" s="738"/>
    </row>
    <row r="81" spans="1:19" ht="12.75" customHeight="1">
      <c r="A81" s="225"/>
      <c r="B81" s="375">
        <v>60</v>
      </c>
      <c r="C81" s="771" t="str">
        <f t="shared" si="16"/>
        <v/>
      </c>
      <c r="D81" s="769" t="str">
        <f t="shared" si="17"/>
        <v/>
      </c>
      <c r="E81" s="769" t="str">
        <f t="shared" si="18"/>
        <v/>
      </c>
      <c r="F81" s="769" t="str">
        <f t="shared" si="19"/>
        <v/>
      </c>
      <c r="G81" s="769" t="str">
        <f t="shared" si="20"/>
        <v/>
      </c>
      <c r="H81" s="450" t="str">
        <f t="shared" si="11"/>
        <v/>
      </c>
      <c r="I81" s="211" t="str">
        <f t="shared" si="12"/>
        <v/>
      </c>
      <c r="J81" s="211" t="str">
        <f t="shared" si="13"/>
        <v/>
      </c>
      <c r="K81" s="211" t="str">
        <f t="shared" si="14"/>
        <v/>
      </c>
      <c r="L81" s="752" t="str">
        <f t="shared" si="15"/>
        <v/>
      </c>
      <c r="M81" s="94"/>
      <c r="Q81" s="737"/>
      <c r="S81" s="738"/>
    </row>
    <row r="82" spans="1:19" ht="12.75" customHeight="1">
      <c r="A82" s="225"/>
      <c r="B82" s="375">
        <v>61</v>
      </c>
      <c r="C82" s="771" t="str">
        <f t="shared" si="16"/>
        <v/>
      </c>
      <c r="D82" s="769" t="str">
        <f t="shared" si="17"/>
        <v/>
      </c>
      <c r="E82" s="769" t="str">
        <f t="shared" si="18"/>
        <v/>
      </c>
      <c r="F82" s="769" t="str">
        <f t="shared" si="19"/>
        <v/>
      </c>
      <c r="G82" s="769" t="str">
        <f t="shared" si="20"/>
        <v/>
      </c>
      <c r="H82" s="450" t="str">
        <f t="shared" si="11"/>
        <v/>
      </c>
      <c r="I82" s="211" t="str">
        <f t="shared" si="12"/>
        <v/>
      </c>
      <c r="J82" s="211" t="str">
        <f t="shared" si="13"/>
        <v/>
      </c>
      <c r="K82" s="211" t="str">
        <f t="shared" si="14"/>
        <v/>
      </c>
      <c r="L82" s="752" t="str">
        <f t="shared" si="15"/>
        <v/>
      </c>
      <c r="M82" s="94"/>
      <c r="Q82" s="737"/>
      <c r="S82" s="738"/>
    </row>
    <row r="83" spans="1:19" ht="12.75" customHeight="1">
      <c r="A83" s="225"/>
      <c r="B83" s="375">
        <v>62</v>
      </c>
      <c r="C83" s="771" t="str">
        <f t="shared" si="16"/>
        <v/>
      </c>
      <c r="D83" s="769" t="str">
        <f t="shared" si="17"/>
        <v/>
      </c>
      <c r="E83" s="769" t="str">
        <f t="shared" si="18"/>
        <v/>
      </c>
      <c r="F83" s="769" t="str">
        <f t="shared" si="19"/>
        <v/>
      </c>
      <c r="G83" s="769" t="str">
        <f t="shared" si="20"/>
        <v/>
      </c>
      <c r="H83" s="450" t="str">
        <f t="shared" si="11"/>
        <v/>
      </c>
      <c r="I83" s="211" t="str">
        <f t="shared" si="12"/>
        <v/>
      </c>
      <c r="J83" s="211" t="str">
        <f t="shared" si="13"/>
        <v/>
      </c>
      <c r="K83" s="211" t="str">
        <f t="shared" si="14"/>
        <v/>
      </c>
      <c r="L83" s="752" t="str">
        <f t="shared" si="15"/>
        <v/>
      </c>
      <c r="M83" s="94"/>
      <c r="Q83" s="737"/>
      <c r="S83" s="738"/>
    </row>
    <row r="84" spans="1:19" ht="12.75" customHeight="1">
      <c r="A84" s="225"/>
      <c r="B84" s="375">
        <v>63</v>
      </c>
      <c r="C84" s="771" t="str">
        <f t="shared" si="16"/>
        <v/>
      </c>
      <c r="D84" s="769" t="str">
        <f t="shared" si="17"/>
        <v/>
      </c>
      <c r="E84" s="769" t="str">
        <f t="shared" si="18"/>
        <v/>
      </c>
      <c r="F84" s="769" t="str">
        <f t="shared" si="19"/>
        <v/>
      </c>
      <c r="G84" s="769" t="str">
        <f t="shared" si="20"/>
        <v/>
      </c>
      <c r="H84" s="450" t="str">
        <f t="shared" si="11"/>
        <v/>
      </c>
      <c r="I84" s="211" t="str">
        <f t="shared" si="12"/>
        <v/>
      </c>
      <c r="J84" s="211" t="str">
        <f t="shared" si="13"/>
        <v/>
      </c>
      <c r="K84" s="211" t="str">
        <f t="shared" si="14"/>
        <v/>
      </c>
      <c r="L84" s="752" t="str">
        <f t="shared" si="15"/>
        <v/>
      </c>
      <c r="M84" s="94"/>
      <c r="Q84" s="737"/>
      <c r="S84" s="738"/>
    </row>
    <row r="85" spans="1:19" ht="12.75" customHeight="1">
      <c r="A85" s="225"/>
      <c r="B85" s="375">
        <v>64</v>
      </c>
      <c r="C85" s="771" t="str">
        <f t="shared" si="16"/>
        <v/>
      </c>
      <c r="D85" s="769" t="str">
        <f t="shared" si="17"/>
        <v/>
      </c>
      <c r="E85" s="769" t="str">
        <f t="shared" si="18"/>
        <v/>
      </c>
      <c r="F85" s="769" t="str">
        <f t="shared" si="19"/>
        <v/>
      </c>
      <c r="G85" s="769" t="str">
        <f t="shared" si="20"/>
        <v/>
      </c>
      <c r="H85" s="450" t="str">
        <f t="shared" si="11"/>
        <v/>
      </c>
      <c r="I85" s="211" t="str">
        <f t="shared" si="12"/>
        <v/>
      </c>
      <c r="J85" s="211" t="str">
        <f t="shared" si="13"/>
        <v/>
      </c>
      <c r="K85" s="211" t="str">
        <f t="shared" si="14"/>
        <v/>
      </c>
      <c r="L85" s="752" t="str">
        <f t="shared" si="15"/>
        <v/>
      </c>
      <c r="M85" s="94"/>
      <c r="Q85" s="737"/>
      <c r="S85" s="738"/>
    </row>
    <row r="86" spans="1:19" ht="12.75" customHeight="1">
      <c r="A86" s="225"/>
      <c r="B86" s="375">
        <v>65</v>
      </c>
      <c r="C86" s="771" t="str">
        <f t="shared" ref="C86:C101" si="21">IF($F$4&gt;=$B86,VLOOKUP(CONCATENATE("delinquency_",$B86),delinquencies,2,0),"")</f>
        <v/>
      </c>
      <c r="D86" s="769" t="str">
        <f t="shared" ref="D86:D101" si="22">IF($F$4&gt;=$B86,VLOOKUP(CONCATENATE("delinquency_",$B86),delinquencies,3,0),"")</f>
        <v/>
      </c>
      <c r="E86" s="769" t="str">
        <f t="shared" ref="E86:E101" si="23">IF($F$4&gt;=$B86,VLOOKUP(CONCATENATE("delinquency_",$B86),delinquencies,4,0),"")</f>
        <v/>
      </c>
      <c r="F86" s="769" t="str">
        <f t="shared" ref="F86:F101" si="24">IF($F$4&gt;=$B86,VLOOKUP(CONCATENATE("delinquency_",$B86),delinquencies,5,0),"")</f>
        <v/>
      </c>
      <c r="G86" s="769" t="str">
        <f t="shared" ref="G86:G101" si="25">IF($F$4&gt;=$B86,VLOOKUP(CONCATENATE("delinquency_",$B86),delinquencies,6,0),"")</f>
        <v/>
      </c>
      <c r="H86" s="450" t="str">
        <f t="shared" si="11"/>
        <v/>
      </c>
      <c r="I86" s="211" t="str">
        <f t="shared" si="12"/>
        <v/>
      </c>
      <c r="J86" s="211" t="str">
        <f t="shared" si="13"/>
        <v/>
      </c>
      <c r="K86" s="211" t="str">
        <f t="shared" si="14"/>
        <v/>
      </c>
      <c r="L86" s="752" t="str">
        <f t="shared" si="15"/>
        <v/>
      </c>
      <c r="M86" s="94"/>
      <c r="Q86" s="737"/>
      <c r="S86" s="738"/>
    </row>
    <row r="87" spans="1:19" ht="12.75" customHeight="1">
      <c r="A87" s="225"/>
      <c r="B87" s="375">
        <v>66</v>
      </c>
      <c r="C87" s="771" t="str">
        <f t="shared" si="21"/>
        <v/>
      </c>
      <c r="D87" s="769" t="str">
        <f t="shared" si="22"/>
        <v/>
      </c>
      <c r="E87" s="769" t="str">
        <f t="shared" si="23"/>
        <v/>
      </c>
      <c r="F87" s="769" t="str">
        <f t="shared" si="24"/>
        <v/>
      </c>
      <c r="G87" s="769" t="str">
        <f t="shared" si="25"/>
        <v/>
      </c>
      <c r="H87" s="450" t="str">
        <f t="shared" si="11"/>
        <v/>
      </c>
      <c r="I87" s="211" t="str">
        <f t="shared" si="12"/>
        <v/>
      </c>
      <c r="J87" s="211" t="str">
        <f t="shared" si="13"/>
        <v/>
      </c>
      <c r="K87" s="211" t="str">
        <f t="shared" si="14"/>
        <v/>
      </c>
      <c r="L87" s="752" t="str">
        <f t="shared" si="15"/>
        <v/>
      </c>
      <c r="M87" s="94"/>
      <c r="Q87" s="737"/>
      <c r="S87" s="738"/>
    </row>
    <row r="88" spans="1:19" ht="12.75" customHeight="1">
      <c r="A88" s="225"/>
      <c r="B88" s="375">
        <v>67</v>
      </c>
      <c r="C88" s="771" t="str">
        <f t="shared" si="21"/>
        <v/>
      </c>
      <c r="D88" s="769" t="str">
        <f t="shared" si="22"/>
        <v/>
      </c>
      <c r="E88" s="769" t="str">
        <f t="shared" si="23"/>
        <v/>
      </c>
      <c r="F88" s="769" t="str">
        <f t="shared" si="24"/>
        <v/>
      </c>
      <c r="G88" s="769" t="str">
        <f t="shared" si="25"/>
        <v/>
      </c>
      <c r="H88" s="450" t="str">
        <f t="shared" si="11"/>
        <v/>
      </c>
      <c r="I88" s="211" t="str">
        <f t="shared" si="12"/>
        <v/>
      </c>
      <c r="J88" s="211" t="str">
        <f t="shared" si="13"/>
        <v/>
      </c>
      <c r="K88" s="211" t="str">
        <f t="shared" si="14"/>
        <v/>
      </c>
      <c r="L88" s="752" t="str">
        <f t="shared" si="15"/>
        <v/>
      </c>
      <c r="M88" s="94"/>
      <c r="Q88" s="737"/>
      <c r="S88" s="738"/>
    </row>
    <row r="89" spans="1:19" ht="12.75" customHeight="1">
      <c r="A89" s="225"/>
      <c r="B89" s="375">
        <v>68</v>
      </c>
      <c r="C89" s="771" t="str">
        <f t="shared" si="21"/>
        <v/>
      </c>
      <c r="D89" s="769" t="str">
        <f t="shared" si="22"/>
        <v/>
      </c>
      <c r="E89" s="769" t="str">
        <f t="shared" si="23"/>
        <v/>
      </c>
      <c r="F89" s="769" t="str">
        <f t="shared" si="24"/>
        <v/>
      </c>
      <c r="G89" s="769" t="str">
        <f t="shared" si="25"/>
        <v/>
      </c>
      <c r="H89" s="450" t="str">
        <f t="shared" ref="H89:H101" si="26">IF(B89&lt;=$F$4,(C89-D89-E89-F89-G89)/C89,"")</f>
        <v/>
      </c>
      <c r="I89" s="211" t="str">
        <f t="shared" ref="I89:I101" si="27">IF($B89&lt;=$F$4,D89/$C89,"")</f>
        <v/>
      </c>
      <c r="J89" s="211" t="str">
        <f t="shared" ref="J89:J101" si="28">IF($B89&lt;=$F$4,E89/$C89,"")</f>
        <v/>
      </c>
      <c r="K89" s="211" t="str">
        <f t="shared" ref="K89:K101" si="29">IF($B89&lt;=$F$4,F89/$C89,"")</f>
        <v/>
      </c>
      <c r="L89" s="752" t="str">
        <f t="shared" ref="L89:L101" si="30">IF($B89&lt;=$F$4,G89/$C89,"")</f>
        <v/>
      </c>
      <c r="M89" s="94"/>
      <c r="Q89" s="737"/>
      <c r="S89" s="738"/>
    </row>
    <row r="90" spans="1:19" ht="12.75" customHeight="1">
      <c r="A90" s="225"/>
      <c r="B90" s="375">
        <v>69</v>
      </c>
      <c r="C90" s="771" t="str">
        <f t="shared" si="21"/>
        <v/>
      </c>
      <c r="D90" s="769" t="str">
        <f t="shared" si="22"/>
        <v/>
      </c>
      <c r="E90" s="769" t="str">
        <f t="shared" si="23"/>
        <v/>
      </c>
      <c r="F90" s="769" t="str">
        <f t="shared" si="24"/>
        <v/>
      </c>
      <c r="G90" s="769" t="str">
        <f t="shared" si="25"/>
        <v/>
      </c>
      <c r="H90" s="450" t="str">
        <f t="shared" si="26"/>
        <v/>
      </c>
      <c r="I90" s="211" t="str">
        <f t="shared" si="27"/>
        <v/>
      </c>
      <c r="J90" s="211" t="str">
        <f t="shared" si="28"/>
        <v/>
      </c>
      <c r="K90" s="211" t="str">
        <f t="shared" si="29"/>
        <v/>
      </c>
      <c r="L90" s="752" t="str">
        <f t="shared" si="30"/>
        <v/>
      </c>
      <c r="M90" s="94"/>
      <c r="Q90" s="737"/>
      <c r="S90" s="738"/>
    </row>
    <row r="91" spans="1:19" ht="12.75" customHeight="1">
      <c r="A91" s="225"/>
      <c r="B91" s="375">
        <v>70</v>
      </c>
      <c r="C91" s="771" t="str">
        <f t="shared" si="21"/>
        <v/>
      </c>
      <c r="D91" s="769" t="str">
        <f t="shared" si="22"/>
        <v/>
      </c>
      <c r="E91" s="769" t="str">
        <f t="shared" si="23"/>
        <v/>
      </c>
      <c r="F91" s="769" t="str">
        <f t="shared" si="24"/>
        <v/>
      </c>
      <c r="G91" s="769" t="str">
        <f t="shared" si="25"/>
        <v/>
      </c>
      <c r="H91" s="450" t="str">
        <f t="shared" si="26"/>
        <v/>
      </c>
      <c r="I91" s="211" t="str">
        <f t="shared" si="27"/>
        <v/>
      </c>
      <c r="J91" s="211" t="str">
        <f t="shared" si="28"/>
        <v/>
      </c>
      <c r="K91" s="211" t="str">
        <f t="shared" si="29"/>
        <v/>
      </c>
      <c r="L91" s="752" t="str">
        <f t="shared" si="30"/>
        <v/>
      </c>
      <c r="M91" s="94"/>
      <c r="Q91" s="737"/>
      <c r="S91" s="738"/>
    </row>
    <row r="92" spans="1:19" ht="12.75" customHeight="1">
      <c r="A92" s="225"/>
      <c r="B92" s="375">
        <v>71</v>
      </c>
      <c r="C92" s="771" t="str">
        <f t="shared" si="21"/>
        <v/>
      </c>
      <c r="D92" s="769" t="str">
        <f t="shared" si="22"/>
        <v/>
      </c>
      <c r="E92" s="769" t="str">
        <f t="shared" si="23"/>
        <v/>
      </c>
      <c r="F92" s="769" t="str">
        <f t="shared" si="24"/>
        <v/>
      </c>
      <c r="G92" s="769" t="str">
        <f t="shared" si="25"/>
        <v/>
      </c>
      <c r="H92" s="450" t="str">
        <f t="shared" si="26"/>
        <v/>
      </c>
      <c r="I92" s="211" t="str">
        <f t="shared" si="27"/>
        <v/>
      </c>
      <c r="J92" s="211" t="str">
        <f t="shared" si="28"/>
        <v/>
      </c>
      <c r="K92" s="211" t="str">
        <f t="shared" si="29"/>
        <v/>
      </c>
      <c r="L92" s="752" t="str">
        <f t="shared" si="30"/>
        <v/>
      </c>
      <c r="M92" s="94"/>
      <c r="Q92" s="737"/>
      <c r="S92" s="738"/>
    </row>
    <row r="93" spans="1:19" ht="12.75" customHeight="1">
      <c r="A93" s="225"/>
      <c r="B93" s="375">
        <v>72</v>
      </c>
      <c r="C93" s="771" t="str">
        <f t="shared" si="21"/>
        <v/>
      </c>
      <c r="D93" s="769" t="str">
        <f t="shared" si="22"/>
        <v/>
      </c>
      <c r="E93" s="769" t="str">
        <f t="shared" si="23"/>
        <v/>
      </c>
      <c r="F93" s="769" t="str">
        <f t="shared" si="24"/>
        <v/>
      </c>
      <c r="G93" s="769" t="str">
        <f t="shared" si="25"/>
        <v/>
      </c>
      <c r="H93" s="450" t="str">
        <f t="shared" si="26"/>
        <v/>
      </c>
      <c r="I93" s="211" t="str">
        <f t="shared" si="27"/>
        <v/>
      </c>
      <c r="J93" s="211" t="str">
        <f t="shared" si="28"/>
        <v/>
      </c>
      <c r="K93" s="211" t="str">
        <f t="shared" si="29"/>
        <v/>
      </c>
      <c r="L93" s="752" t="str">
        <f t="shared" si="30"/>
        <v/>
      </c>
      <c r="M93" s="94"/>
      <c r="Q93" s="737"/>
      <c r="S93" s="738"/>
    </row>
    <row r="94" spans="1:19" ht="12.75" customHeight="1">
      <c r="A94" s="225"/>
      <c r="B94" s="375">
        <v>73</v>
      </c>
      <c r="C94" s="771" t="str">
        <f t="shared" si="21"/>
        <v/>
      </c>
      <c r="D94" s="769" t="str">
        <f t="shared" si="22"/>
        <v/>
      </c>
      <c r="E94" s="769" t="str">
        <f t="shared" si="23"/>
        <v/>
      </c>
      <c r="F94" s="769" t="str">
        <f t="shared" si="24"/>
        <v/>
      </c>
      <c r="G94" s="769" t="str">
        <f t="shared" si="25"/>
        <v/>
      </c>
      <c r="H94" s="450" t="str">
        <f t="shared" si="26"/>
        <v/>
      </c>
      <c r="I94" s="211" t="str">
        <f t="shared" si="27"/>
        <v/>
      </c>
      <c r="J94" s="211" t="str">
        <f t="shared" si="28"/>
        <v/>
      </c>
      <c r="K94" s="211" t="str">
        <f t="shared" si="29"/>
        <v/>
      </c>
      <c r="L94" s="752" t="str">
        <f t="shared" si="30"/>
        <v/>
      </c>
      <c r="M94" s="94"/>
      <c r="Q94" s="737"/>
      <c r="S94" s="738"/>
    </row>
    <row r="95" spans="1:19" ht="12.75" customHeight="1">
      <c r="A95" s="225"/>
      <c r="B95" s="375">
        <v>74</v>
      </c>
      <c r="C95" s="771" t="str">
        <f t="shared" si="21"/>
        <v/>
      </c>
      <c r="D95" s="769" t="str">
        <f t="shared" si="22"/>
        <v/>
      </c>
      <c r="E95" s="769" t="str">
        <f t="shared" si="23"/>
        <v/>
      </c>
      <c r="F95" s="769" t="str">
        <f t="shared" si="24"/>
        <v/>
      </c>
      <c r="G95" s="769" t="str">
        <f t="shared" si="25"/>
        <v/>
      </c>
      <c r="H95" s="450" t="str">
        <f t="shared" si="26"/>
        <v/>
      </c>
      <c r="I95" s="211" t="str">
        <f t="shared" si="27"/>
        <v/>
      </c>
      <c r="J95" s="211" t="str">
        <f t="shared" si="28"/>
        <v/>
      </c>
      <c r="K95" s="211" t="str">
        <f t="shared" si="29"/>
        <v/>
      </c>
      <c r="L95" s="752" t="str">
        <f t="shared" si="30"/>
        <v/>
      </c>
      <c r="M95" s="94"/>
      <c r="Q95" s="737"/>
      <c r="S95" s="738"/>
    </row>
    <row r="96" spans="1:19" ht="12.75" customHeight="1">
      <c r="A96" s="225"/>
      <c r="B96" s="375">
        <v>75</v>
      </c>
      <c r="C96" s="771" t="str">
        <f t="shared" si="21"/>
        <v/>
      </c>
      <c r="D96" s="769" t="str">
        <f t="shared" si="22"/>
        <v/>
      </c>
      <c r="E96" s="769" t="str">
        <f t="shared" si="23"/>
        <v/>
      </c>
      <c r="F96" s="769" t="str">
        <f t="shared" si="24"/>
        <v/>
      </c>
      <c r="G96" s="769" t="str">
        <f t="shared" si="25"/>
        <v/>
      </c>
      <c r="H96" s="450" t="str">
        <f t="shared" si="26"/>
        <v/>
      </c>
      <c r="I96" s="211" t="str">
        <f t="shared" si="27"/>
        <v/>
      </c>
      <c r="J96" s="211" t="str">
        <f t="shared" si="28"/>
        <v/>
      </c>
      <c r="K96" s="211" t="str">
        <f t="shared" si="29"/>
        <v/>
      </c>
      <c r="L96" s="752" t="str">
        <f t="shared" si="30"/>
        <v/>
      </c>
      <c r="M96" s="94"/>
      <c r="Q96" s="737"/>
      <c r="S96" s="738"/>
    </row>
    <row r="97" spans="1:19" ht="12.75" customHeight="1">
      <c r="A97" s="225"/>
      <c r="B97" s="375">
        <v>76</v>
      </c>
      <c r="C97" s="771" t="str">
        <f t="shared" si="21"/>
        <v/>
      </c>
      <c r="D97" s="769" t="str">
        <f t="shared" si="22"/>
        <v/>
      </c>
      <c r="E97" s="769" t="str">
        <f t="shared" si="23"/>
        <v/>
      </c>
      <c r="F97" s="769" t="str">
        <f t="shared" si="24"/>
        <v/>
      </c>
      <c r="G97" s="769" t="str">
        <f t="shared" si="25"/>
        <v/>
      </c>
      <c r="H97" s="450" t="str">
        <f t="shared" si="26"/>
        <v/>
      </c>
      <c r="I97" s="211" t="str">
        <f t="shared" si="27"/>
        <v/>
      </c>
      <c r="J97" s="211" t="str">
        <f t="shared" si="28"/>
        <v/>
      </c>
      <c r="K97" s="211" t="str">
        <f t="shared" si="29"/>
        <v/>
      </c>
      <c r="L97" s="752" t="str">
        <f t="shared" si="30"/>
        <v/>
      </c>
      <c r="M97" s="94"/>
      <c r="Q97" s="737"/>
      <c r="S97" s="738"/>
    </row>
    <row r="98" spans="1:19" ht="12.75" customHeight="1">
      <c r="A98" s="225"/>
      <c r="B98" s="375">
        <v>77</v>
      </c>
      <c r="C98" s="771" t="str">
        <f t="shared" si="21"/>
        <v/>
      </c>
      <c r="D98" s="769" t="str">
        <f t="shared" si="22"/>
        <v/>
      </c>
      <c r="E98" s="769" t="str">
        <f t="shared" si="23"/>
        <v/>
      </c>
      <c r="F98" s="769" t="str">
        <f t="shared" si="24"/>
        <v/>
      </c>
      <c r="G98" s="769" t="str">
        <f t="shared" si="25"/>
        <v/>
      </c>
      <c r="H98" s="450" t="str">
        <f t="shared" si="26"/>
        <v/>
      </c>
      <c r="I98" s="211" t="str">
        <f t="shared" si="27"/>
        <v/>
      </c>
      <c r="J98" s="211" t="str">
        <f t="shared" si="28"/>
        <v/>
      </c>
      <c r="K98" s="211" t="str">
        <f t="shared" si="29"/>
        <v/>
      </c>
      <c r="L98" s="752" t="str">
        <f t="shared" si="30"/>
        <v/>
      </c>
      <c r="M98" s="94"/>
      <c r="Q98" s="737"/>
      <c r="S98" s="738"/>
    </row>
    <row r="99" spans="1:19" ht="12.75" customHeight="1">
      <c r="A99" s="225"/>
      <c r="B99" s="375">
        <v>78</v>
      </c>
      <c r="C99" s="771" t="str">
        <f t="shared" si="21"/>
        <v/>
      </c>
      <c r="D99" s="769" t="str">
        <f t="shared" si="22"/>
        <v/>
      </c>
      <c r="E99" s="769" t="str">
        <f t="shared" si="23"/>
        <v/>
      </c>
      <c r="F99" s="769" t="str">
        <f t="shared" si="24"/>
        <v/>
      </c>
      <c r="G99" s="769" t="str">
        <f t="shared" si="25"/>
        <v/>
      </c>
      <c r="H99" s="450" t="str">
        <f t="shared" si="26"/>
        <v/>
      </c>
      <c r="I99" s="211" t="str">
        <f t="shared" si="27"/>
        <v/>
      </c>
      <c r="J99" s="211" t="str">
        <f t="shared" si="28"/>
        <v/>
      </c>
      <c r="K99" s="211" t="str">
        <f t="shared" si="29"/>
        <v/>
      </c>
      <c r="L99" s="752" t="str">
        <f t="shared" si="30"/>
        <v/>
      </c>
      <c r="M99" s="94"/>
      <c r="Q99" s="737"/>
      <c r="S99" s="738"/>
    </row>
    <row r="100" spans="1:19" ht="12.75" customHeight="1">
      <c r="A100" s="225"/>
      <c r="B100" s="375">
        <v>79</v>
      </c>
      <c r="C100" s="771" t="str">
        <f t="shared" si="21"/>
        <v/>
      </c>
      <c r="D100" s="769" t="str">
        <f t="shared" si="22"/>
        <v/>
      </c>
      <c r="E100" s="769" t="str">
        <f t="shared" si="23"/>
        <v/>
      </c>
      <c r="F100" s="769" t="str">
        <f t="shared" si="24"/>
        <v/>
      </c>
      <c r="G100" s="769" t="str">
        <f t="shared" si="25"/>
        <v/>
      </c>
      <c r="H100" s="450" t="str">
        <f t="shared" si="26"/>
        <v/>
      </c>
      <c r="I100" s="211" t="str">
        <f t="shared" si="27"/>
        <v/>
      </c>
      <c r="J100" s="211" t="str">
        <f t="shared" si="28"/>
        <v/>
      </c>
      <c r="K100" s="211" t="str">
        <f t="shared" si="29"/>
        <v/>
      </c>
      <c r="L100" s="752" t="str">
        <f t="shared" si="30"/>
        <v/>
      </c>
      <c r="M100" s="94"/>
      <c r="Q100" s="737"/>
      <c r="S100" s="738"/>
    </row>
    <row r="101" spans="1:19">
      <c r="A101" s="225"/>
      <c r="B101" s="739">
        <v>80</v>
      </c>
      <c r="C101" s="770" t="str">
        <f t="shared" si="21"/>
        <v/>
      </c>
      <c r="D101" s="770" t="str">
        <f t="shared" si="22"/>
        <v/>
      </c>
      <c r="E101" s="770" t="str">
        <f t="shared" si="23"/>
        <v/>
      </c>
      <c r="F101" s="770" t="str">
        <f t="shared" si="24"/>
        <v/>
      </c>
      <c r="G101" s="770" t="str">
        <f t="shared" si="25"/>
        <v/>
      </c>
      <c r="H101" s="419" t="str">
        <f t="shared" si="26"/>
        <v/>
      </c>
      <c r="I101" s="419" t="str">
        <f t="shared" si="27"/>
        <v/>
      </c>
      <c r="J101" s="419" t="str">
        <f t="shared" si="28"/>
        <v/>
      </c>
      <c r="K101" s="419" t="str">
        <f t="shared" si="29"/>
        <v/>
      </c>
      <c r="L101" s="420" t="str">
        <f t="shared" si="30"/>
        <v/>
      </c>
      <c r="M101" s="94"/>
    </row>
    <row r="102" spans="1:19">
      <c r="A102" s="289"/>
      <c r="B102" s="35"/>
      <c r="C102" s="35"/>
      <c r="D102" s="35"/>
      <c r="E102" s="35"/>
      <c r="F102" s="35"/>
      <c r="G102" s="35"/>
      <c r="H102" s="35"/>
      <c r="I102" s="35"/>
      <c r="J102" s="35"/>
      <c r="K102" s="35"/>
      <c r="L102" s="35"/>
      <c r="M102" s="95"/>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4"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7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55.1796875" style="22" customWidth="1"/>
    <col min="3" max="3" width="8.81640625" style="22" customWidth="1"/>
    <col min="4" max="4" width="21.453125" style="22" customWidth="1"/>
    <col min="5" max="5" width="4.81640625" style="22" customWidth="1"/>
    <col min="6" max="6" width="18.81640625" style="22" customWidth="1"/>
    <col min="7" max="7" width="4.81640625" style="22" customWidth="1"/>
    <col min="8" max="8" width="18.81640625" style="22" customWidth="1"/>
    <col min="9" max="9" width="4.81640625" style="22" customWidth="1"/>
    <col min="10" max="10" width="18.81640625" style="22" customWidth="1"/>
    <col min="11" max="11" width="4.81640625" style="22" customWidth="1"/>
    <col min="12" max="12" width="18.816406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23"/>
      <c r="M1" s="224"/>
    </row>
    <row r="2" spans="1:13" ht="18">
      <c r="A2" s="225"/>
      <c r="B2" s="226" t="str">
        <f>'Cover Sheet'!B2</f>
        <v>SC Germany Consumer 2024-1</v>
      </c>
      <c r="C2" s="226"/>
      <c r="D2" s="227" t="str">
        <f>'Cover Sheet'!D2</f>
        <v>Calculation Date</v>
      </c>
      <c r="E2" s="228"/>
      <c r="F2" s="229">
        <f>'Cover Sheet'!F2</f>
        <v>45911</v>
      </c>
      <c r="G2" s="228"/>
      <c r="H2" s="228"/>
      <c r="I2" s="228"/>
      <c r="J2" s="228"/>
      <c r="K2" s="228"/>
      <c r="L2" s="230"/>
      <c r="M2" s="94"/>
    </row>
    <row r="3" spans="1:13" ht="18">
      <c r="A3" s="225"/>
      <c r="B3" s="226" t="str">
        <f>'Cover Sheet'!B3</f>
        <v>Monthly Investor Report</v>
      </c>
      <c r="C3" s="226"/>
      <c r="D3" s="232" t="str">
        <f>'Cover Sheet'!D3</f>
        <v>Payment Date</v>
      </c>
      <c r="E3" s="233"/>
      <c r="F3" s="234">
        <f>'Cover Sheet'!F3</f>
        <v>45915</v>
      </c>
      <c r="G3" s="233"/>
      <c r="H3" s="233"/>
      <c r="I3" s="233"/>
      <c r="J3" s="233"/>
      <c r="K3" s="233"/>
      <c r="L3" s="235"/>
      <c r="M3" s="94"/>
    </row>
    <row r="4" spans="1:13">
      <c r="A4" s="225"/>
      <c r="B4" s="741"/>
      <c r="C4" s="109"/>
      <c r="D4" s="232" t="str">
        <f>'Cover Sheet'!D4</f>
        <v>Period  No</v>
      </c>
      <c r="E4" s="233"/>
      <c r="F4" s="237">
        <f>'Cover Sheet'!F4</f>
        <v>16</v>
      </c>
      <c r="G4" s="233"/>
      <c r="H4" s="238"/>
      <c r="I4" s="233"/>
      <c r="J4" s="243"/>
      <c r="K4" s="233"/>
      <c r="L4" s="239"/>
      <c r="M4" s="94"/>
    </row>
    <row r="5" spans="1:13" ht="18">
      <c r="A5" s="225"/>
      <c r="B5" s="240" t="s">
        <v>230</v>
      </c>
      <c r="C5" s="240"/>
      <c r="D5" s="232" t="str">
        <f>'Cover Sheet'!D5</f>
        <v>Monthly Period</v>
      </c>
      <c r="E5" s="233"/>
      <c r="F5" s="130">
        <f>'Cover Sheet'!F5</f>
        <v>45915</v>
      </c>
      <c r="G5" s="233"/>
      <c r="H5" s="238"/>
      <c r="I5" s="233"/>
      <c r="J5" s="243"/>
      <c r="K5" s="233"/>
      <c r="L5" s="239"/>
      <c r="M5" s="94"/>
    </row>
    <row r="6" spans="1:13" ht="15" customHeight="1">
      <c r="A6" s="225"/>
      <c r="B6" s="241"/>
      <c r="C6" s="236"/>
      <c r="D6" s="232" t="str">
        <f>'Cover Sheet'!D6</f>
        <v>Interest Period</v>
      </c>
      <c r="E6" s="243" t="str">
        <f>'Cover Sheet'!E6</f>
        <v>from</v>
      </c>
      <c r="F6" s="234">
        <f>'Cover Sheet'!F6</f>
        <v>45883</v>
      </c>
      <c r="G6" s="243" t="str">
        <f>'Cover Sheet'!G6</f>
        <v>to</v>
      </c>
      <c r="H6" s="234">
        <f>'Cover Sheet'!H6</f>
        <v>45915</v>
      </c>
      <c r="I6" s="243" t="str">
        <f>'Cover Sheet'!I6</f>
        <v>=</v>
      </c>
      <c r="J6" s="716" t="str">
        <f>'Cover Sheet'!J6</f>
        <v>32 days</v>
      </c>
      <c r="K6" s="243"/>
      <c r="L6" s="332"/>
      <c r="M6" s="299"/>
    </row>
    <row r="7" spans="1:13">
      <c r="A7" s="225"/>
      <c r="D7" s="607" t="str">
        <f>'Cover Sheet'!D7</f>
        <v>Collection Period</v>
      </c>
      <c r="E7" s="608" t="str">
        <f>'Cover Sheet'!E7</f>
        <v>from</v>
      </c>
      <c r="F7" s="247" t="str">
        <f>'Cover Sheet'!F7</f>
        <v>01.08.2025</v>
      </c>
      <c r="G7" s="608" t="str">
        <f>'Cover Sheet'!G7</f>
        <v>to</v>
      </c>
      <c r="H7" s="247">
        <f>'Cover Sheet'!H7</f>
        <v>45900</v>
      </c>
      <c r="I7" s="248"/>
      <c r="J7" s="248"/>
      <c r="K7" s="248"/>
      <c r="L7" s="249"/>
      <c r="M7" s="94"/>
    </row>
    <row r="8" spans="1:13" ht="13">
      <c r="A8" s="225"/>
      <c r="D8" s="717"/>
      <c r="E8" s="5"/>
      <c r="F8" s="231"/>
      <c r="H8" s="250"/>
      <c r="J8" s="250"/>
      <c r="L8" s="78"/>
      <c r="M8" s="94"/>
    </row>
    <row r="9" spans="1:13">
      <c r="A9" s="225"/>
      <c r="D9" s="109"/>
      <c r="M9" s="94"/>
    </row>
    <row r="10" spans="1:13">
      <c r="A10" s="225"/>
      <c r="D10" s="109"/>
      <c r="M10" s="94"/>
    </row>
    <row r="11" spans="1:13" ht="18" customHeight="1">
      <c r="A11" s="225"/>
      <c r="D11" s="109"/>
      <c r="M11" s="94"/>
    </row>
    <row r="12" spans="1:13">
      <c r="A12" s="225"/>
      <c r="D12" s="109"/>
      <c r="M12" s="94"/>
    </row>
    <row r="13" spans="1:13" ht="18">
      <c r="A13" s="225"/>
      <c r="B13" s="226"/>
      <c r="D13" s="708"/>
      <c r="F13" s="226"/>
      <c r="J13" s="226"/>
      <c r="M13" s="94"/>
    </row>
    <row r="14" spans="1:13">
      <c r="A14" s="225"/>
      <c r="D14" s="718"/>
      <c r="M14" s="94"/>
    </row>
    <row r="15" spans="1:13">
      <c r="A15" s="225"/>
      <c r="D15" s="718"/>
      <c r="M15" s="94"/>
    </row>
    <row r="16" spans="1:13">
      <c r="A16" s="225"/>
      <c r="D16" s="719"/>
      <c r="M16" s="94"/>
    </row>
    <row r="17" spans="1:13" ht="31.5" customHeight="1">
      <c r="A17" s="225"/>
      <c r="B17" s="226" t="s">
        <v>172</v>
      </c>
      <c r="D17" s="109"/>
      <c r="F17" s="708" t="s">
        <v>170</v>
      </c>
      <c r="G17" s="708"/>
      <c r="H17" s="720" t="s">
        <v>62</v>
      </c>
      <c r="J17" s="720"/>
      <c r="L17" s="720"/>
      <c r="M17" s="94"/>
    </row>
    <row r="18" spans="1:13" ht="13">
      <c r="A18" s="225"/>
      <c r="B18" s="62"/>
      <c r="D18" s="742"/>
      <c r="F18" s="728"/>
      <c r="G18" s="21"/>
      <c r="M18" s="94"/>
    </row>
    <row r="19" spans="1:13" ht="13">
      <c r="A19" s="225"/>
      <c r="B19" s="743" t="s">
        <v>173</v>
      </c>
      <c r="D19" s="742"/>
      <c r="F19" s="728"/>
      <c r="G19" s="21"/>
      <c r="I19" s="645"/>
      <c r="J19" s="703"/>
      <c r="K19" s="645"/>
      <c r="L19" s="703"/>
      <c r="M19" s="94"/>
    </row>
    <row r="20" spans="1:13" ht="13">
      <c r="A20" s="225"/>
      <c r="B20" s="22" t="s">
        <v>174</v>
      </c>
      <c r="D20" s="742"/>
      <c r="F20" s="718">
        <f>VLOOKUP("GrossDefault_current",calcdata,2,0)</f>
        <v>3646087.28</v>
      </c>
      <c r="G20" s="21"/>
      <c r="I20" s="645"/>
      <c r="K20" s="645"/>
      <c r="L20" s="726"/>
      <c r="M20" s="94"/>
    </row>
    <row r="21" spans="1:13">
      <c r="A21" s="225"/>
      <c r="B21" s="22" t="s">
        <v>82</v>
      </c>
      <c r="D21" s="109"/>
      <c r="F21" s="718">
        <f>VLOOKUP("Recoveries_current",calcdata,2,0)</f>
        <v>107353.22</v>
      </c>
      <c r="J21" s="109"/>
      <c r="M21" s="94"/>
    </row>
    <row r="22" spans="1:13" ht="13">
      <c r="A22" s="225"/>
      <c r="B22" s="22" t="s">
        <v>175</v>
      </c>
      <c r="D22" s="744"/>
      <c r="E22" s="21"/>
      <c r="F22" s="718">
        <f>F20-F21</f>
        <v>3538734.0599999996</v>
      </c>
      <c r="G22" s="21"/>
      <c r="H22" s="703"/>
      <c r="J22" s="109"/>
      <c r="M22" s="94"/>
    </row>
    <row r="23" spans="1:13">
      <c r="A23" s="225"/>
      <c r="B23" s="22" t="s">
        <v>176</v>
      </c>
      <c r="D23" s="745"/>
      <c r="F23" s="746"/>
      <c r="H23" s="860">
        <f>VLOOKUP("default_new",Assets_Daten,3,0)</f>
        <v>177</v>
      </c>
      <c r="J23" s="109"/>
      <c r="M23" s="94"/>
    </row>
    <row r="24" spans="1:13" ht="13">
      <c r="A24" s="225"/>
      <c r="B24" s="62"/>
      <c r="D24" s="745"/>
      <c r="F24" s="746"/>
      <c r="H24" s="747"/>
      <c r="I24" s="645"/>
      <c r="J24" s="703"/>
      <c r="K24" s="645"/>
      <c r="L24" s="703"/>
      <c r="M24" s="94"/>
    </row>
    <row r="25" spans="1:13" ht="13">
      <c r="A25" s="225"/>
      <c r="B25" s="743" t="s">
        <v>177</v>
      </c>
      <c r="D25" s="745"/>
      <c r="F25" s="746"/>
      <c r="H25" s="748"/>
      <c r="I25" s="645"/>
      <c r="J25" s="109"/>
      <c r="K25" s="645"/>
      <c r="L25" s="726"/>
      <c r="M25" s="94"/>
    </row>
    <row r="26" spans="1:13" ht="13">
      <c r="A26" s="225"/>
      <c r="B26" s="22" t="s">
        <v>178</v>
      </c>
      <c r="C26" s="21"/>
      <c r="D26" s="744"/>
      <c r="E26" s="21"/>
      <c r="F26" s="718">
        <f>VLOOKUP("Cum_GrossDefault",calcdata,2,0)</f>
        <v>43024966.649999999</v>
      </c>
      <c r="G26" s="21"/>
      <c r="H26" s="703"/>
      <c r="J26" s="109"/>
      <c r="M26" s="94"/>
    </row>
    <row r="27" spans="1:13" ht="13">
      <c r="A27" s="225"/>
      <c r="B27" s="22" t="s">
        <v>83</v>
      </c>
      <c r="D27" s="745"/>
      <c r="F27" s="718">
        <f>VLOOKUP("Cum_Recoveries",calcdata,2,0)</f>
        <v>493573.03</v>
      </c>
      <c r="H27" s="708"/>
      <c r="J27" s="109"/>
      <c r="M27" s="94"/>
    </row>
    <row r="28" spans="1:13">
      <c r="A28" s="225"/>
      <c r="B28" s="22" t="s">
        <v>406</v>
      </c>
      <c r="D28" s="745"/>
      <c r="F28" s="718">
        <f>F26-F27</f>
        <v>42531393.619999997</v>
      </c>
      <c r="H28" s="109"/>
      <c r="M28" s="94"/>
    </row>
    <row r="29" spans="1:13">
      <c r="A29" s="225"/>
      <c r="B29" s="22" t="s">
        <v>179</v>
      </c>
      <c r="D29" s="109"/>
      <c r="F29" s="109"/>
      <c r="H29" s="860">
        <f>VLOOKUP(F4-1,'3.3 Defaults &amp; Recoveries p.p.'!B:C,2,0)+H23</f>
        <v>1883</v>
      </c>
      <c r="M29" s="94"/>
    </row>
    <row r="30" spans="1:13">
      <c r="A30" s="225"/>
      <c r="D30" s="109"/>
      <c r="F30" s="109"/>
      <c r="J30" s="109"/>
      <c r="M30" s="94"/>
    </row>
    <row r="31" spans="1:13">
      <c r="A31" s="225"/>
      <c r="D31" s="745"/>
      <c r="F31" s="109"/>
      <c r="M31" s="94"/>
    </row>
    <row r="32" spans="1:13" ht="18">
      <c r="A32" s="225"/>
      <c r="B32" s="226" t="s">
        <v>231</v>
      </c>
      <c r="D32" s="745"/>
      <c r="F32" s="109"/>
      <c r="J32" s="703"/>
      <c r="L32" s="704"/>
      <c r="M32" s="94"/>
    </row>
    <row r="33" spans="1:13">
      <c r="A33" s="225"/>
      <c r="D33" s="745"/>
      <c r="F33" s="109"/>
      <c r="M33" s="94"/>
    </row>
    <row r="34" spans="1:13" ht="13">
      <c r="A34" s="225"/>
      <c r="B34" s="743" t="s">
        <v>232</v>
      </c>
      <c r="D34" s="745"/>
      <c r="M34" s="94"/>
    </row>
    <row r="35" spans="1:13">
      <c r="A35" s="225"/>
      <c r="B35" s="22" t="s">
        <v>315</v>
      </c>
      <c r="D35" s="745"/>
      <c r="F35" s="772">
        <f>VLOOKUP("a_pdl_bop",calcdata,2,0)</f>
        <v>0</v>
      </c>
      <c r="M35" s="94"/>
    </row>
    <row r="36" spans="1:13" ht="13">
      <c r="A36" s="225"/>
      <c r="B36" s="22" t="s">
        <v>316</v>
      </c>
      <c r="D36" s="745"/>
      <c r="F36" s="772">
        <f>VLOOKUP("a_debited_pdl",calcdata,2,0)</f>
        <v>0</v>
      </c>
      <c r="J36" s="703"/>
      <c r="L36" s="703"/>
      <c r="M36" s="94"/>
    </row>
    <row r="37" spans="1:13" ht="13">
      <c r="A37" s="225"/>
      <c r="B37" s="22" t="s">
        <v>317</v>
      </c>
      <c r="D37" s="745"/>
      <c r="F37" s="772">
        <f>VLOOKUP("a_credited_pdl",calcdata,2,0)</f>
        <v>0</v>
      </c>
      <c r="J37" s="703"/>
      <c r="L37" s="703"/>
      <c r="M37" s="94"/>
    </row>
    <row r="38" spans="1:13" ht="13">
      <c r="A38" s="225"/>
      <c r="B38" s="22" t="s">
        <v>318</v>
      </c>
      <c r="D38" s="745"/>
      <c r="F38" s="772">
        <f>VLOOKUP("a_pdl_eop",calcdata,2,0)</f>
        <v>0</v>
      </c>
      <c r="J38" s="708"/>
      <c r="L38" s="708"/>
      <c r="M38" s="94"/>
    </row>
    <row r="39" spans="1:13" ht="13">
      <c r="A39" s="225"/>
      <c r="D39" s="745"/>
      <c r="F39" s="746"/>
      <c r="J39" s="709"/>
      <c r="L39" s="109"/>
      <c r="M39" s="94"/>
    </row>
    <row r="40" spans="1:13" ht="13">
      <c r="A40" s="225"/>
      <c r="B40" s="743" t="s">
        <v>280</v>
      </c>
      <c r="D40" s="745"/>
      <c r="M40" s="94"/>
    </row>
    <row r="41" spans="1:13">
      <c r="A41" s="225"/>
      <c r="B41" s="22" t="s">
        <v>319</v>
      </c>
      <c r="D41" s="745"/>
      <c r="F41" s="772">
        <f>VLOOKUP("b_pdl_bop",calcdata,2,0)</f>
        <v>0</v>
      </c>
      <c r="M41" s="94"/>
    </row>
    <row r="42" spans="1:13" ht="13">
      <c r="A42" s="225"/>
      <c r="B42" s="22" t="s">
        <v>320</v>
      </c>
      <c r="D42" s="745"/>
      <c r="F42" s="772">
        <f>VLOOKUP("b_debited_pdl",calcdata,2,0)</f>
        <v>0</v>
      </c>
      <c r="J42" s="703"/>
      <c r="L42" s="703"/>
      <c r="M42" s="94"/>
    </row>
    <row r="43" spans="1:13" ht="13">
      <c r="A43" s="225"/>
      <c r="B43" s="22" t="s">
        <v>321</v>
      </c>
      <c r="D43" s="745"/>
      <c r="F43" s="772">
        <f>VLOOKUP("b_credited_pdl",calcdata,2,0)</f>
        <v>0</v>
      </c>
      <c r="J43" s="708"/>
      <c r="L43" s="708"/>
      <c r="M43" s="94"/>
    </row>
    <row r="44" spans="1:13" ht="13">
      <c r="A44" s="225"/>
      <c r="B44" s="22" t="s">
        <v>322</v>
      </c>
      <c r="D44" s="745"/>
      <c r="F44" s="772">
        <f>VLOOKUP("b_pdl_eop",calcdata,2,0)</f>
        <v>0</v>
      </c>
      <c r="J44" s="708"/>
      <c r="L44" s="708"/>
      <c r="M44" s="94"/>
    </row>
    <row r="45" spans="1:13" ht="13">
      <c r="A45" s="225"/>
      <c r="D45" s="745"/>
      <c r="F45" s="746"/>
      <c r="J45" s="709"/>
      <c r="L45" s="109"/>
      <c r="M45" s="94"/>
    </row>
    <row r="46" spans="1:13" ht="13">
      <c r="A46" s="225"/>
      <c r="B46" s="743" t="s">
        <v>281</v>
      </c>
      <c r="D46" s="745"/>
      <c r="M46" s="94"/>
    </row>
    <row r="47" spans="1:13">
      <c r="A47" s="225"/>
      <c r="B47" s="22" t="s">
        <v>323</v>
      </c>
      <c r="D47" s="745"/>
      <c r="F47" s="772">
        <f>VLOOKUP("c_pdl_bop",calcdata,2,0)</f>
        <v>0</v>
      </c>
      <c r="M47" s="94"/>
    </row>
    <row r="48" spans="1:13" ht="13">
      <c r="A48" s="225"/>
      <c r="B48" s="22" t="s">
        <v>324</v>
      </c>
      <c r="D48" s="745"/>
      <c r="F48" s="772">
        <f>VLOOKUP("c_debited_pdl",calcdata,2,0)</f>
        <v>0</v>
      </c>
      <c r="J48" s="703"/>
      <c r="L48" s="703"/>
      <c r="M48" s="94"/>
    </row>
    <row r="49" spans="1:13" ht="13">
      <c r="A49" s="225"/>
      <c r="B49" s="22" t="s">
        <v>325</v>
      </c>
      <c r="D49" s="745"/>
      <c r="F49" s="772">
        <f>VLOOKUP("c_credited_pdl",calcdata,2,0)</f>
        <v>0</v>
      </c>
      <c r="J49" s="708"/>
      <c r="L49" s="708"/>
      <c r="M49" s="94"/>
    </row>
    <row r="50" spans="1:13" ht="13">
      <c r="A50" s="225"/>
      <c r="B50" s="22" t="s">
        <v>326</v>
      </c>
      <c r="D50" s="745"/>
      <c r="F50" s="772">
        <f>VLOOKUP("c_pdl_eop",calcdata,2,0)</f>
        <v>0</v>
      </c>
      <c r="J50" s="708"/>
      <c r="L50" s="708"/>
      <c r="M50" s="94"/>
    </row>
    <row r="51" spans="1:13" ht="13">
      <c r="A51" s="225"/>
      <c r="D51" s="745"/>
      <c r="F51" s="746"/>
      <c r="J51" s="709"/>
      <c r="L51" s="109"/>
      <c r="M51" s="94"/>
    </row>
    <row r="52" spans="1:13" ht="13">
      <c r="A52" s="225"/>
      <c r="B52" s="743" t="s">
        <v>282</v>
      </c>
      <c r="D52" s="745"/>
      <c r="M52" s="94"/>
    </row>
    <row r="53" spans="1:13">
      <c r="A53" s="225"/>
      <c r="B53" s="22" t="s">
        <v>327</v>
      </c>
      <c r="D53" s="745"/>
      <c r="F53" s="772">
        <f>VLOOKUP("d_pdl_bop",calcdata,2,0)</f>
        <v>0</v>
      </c>
      <c r="M53" s="94"/>
    </row>
    <row r="54" spans="1:13" ht="13">
      <c r="A54" s="225"/>
      <c r="B54" s="22" t="s">
        <v>328</v>
      </c>
      <c r="D54" s="745"/>
      <c r="F54" s="772">
        <f>VLOOKUP("d_debited_pdl",calcdata,2,0)</f>
        <v>0</v>
      </c>
      <c r="J54" s="703"/>
      <c r="L54" s="703"/>
      <c r="M54" s="94"/>
    </row>
    <row r="55" spans="1:13" ht="13">
      <c r="A55" s="225"/>
      <c r="B55" s="22" t="s">
        <v>329</v>
      </c>
      <c r="D55" s="745"/>
      <c r="F55" s="772">
        <f>VLOOKUP("d_credited_pdl",calcdata,2,0)</f>
        <v>0</v>
      </c>
      <c r="J55" s="708"/>
      <c r="L55" s="708"/>
      <c r="M55" s="94"/>
    </row>
    <row r="56" spans="1:13" ht="13">
      <c r="A56" s="225"/>
      <c r="B56" s="22" t="s">
        <v>330</v>
      </c>
      <c r="D56" s="745"/>
      <c r="F56" s="772">
        <f>VLOOKUP("d_pdl_eop",calcdata,2,0)</f>
        <v>0</v>
      </c>
      <c r="J56" s="708"/>
      <c r="L56" s="708"/>
      <c r="M56" s="94"/>
    </row>
    <row r="57" spans="1:13" ht="13">
      <c r="A57" s="225"/>
      <c r="D57" s="745"/>
      <c r="F57" s="746"/>
      <c r="J57" s="709"/>
      <c r="L57" s="109"/>
      <c r="M57" s="94"/>
    </row>
    <row r="58" spans="1:13" ht="13">
      <c r="A58" s="225"/>
      <c r="B58" s="743" t="s">
        <v>283</v>
      </c>
      <c r="D58" s="745"/>
      <c r="M58" s="94"/>
    </row>
    <row r="59" spans="1:13">
      <c r="A59" s="225"/>
      <c r="B59" s="22" t="s">
        <v>331</v>
      </c>
      <c r="D59" s="745"/>
      <c r="F59" s="772">
        <f>VLOOKUP("e_pdl_bop",calcdata,2,0)</f>
        <v>0</v>
      </c>
      <c r="M59" s="94"/>
    </row>
    <row r="60" spans="1:13" ht="13">
      <c r="A60" s="225"/>
      <c r="B60" s="22" t="s">
        <v>332</v>
      </c>
      <c r="D60" s="745"/>
      <c r="F60" s="772">
        <f>VLOOKUP("e_debited_pdl",calcdata,2,0)</f>
        <v>0</v>
      </c>
      <c r="J60" s="703"/>
      <c r="L60" s="703"/>
      <c r="M60" s="94"/>
    </row>
    <row r="61" spans="1:13" ht="13">
      <c r="A61" s="225"/>
      <c r="B61" s="22" t="s">
        <v>333</v>
      </c>
      <c r="D61" s="745"/>
      <c r="F61" s="772">
        <f>VLOOKUP("e_credited_pdl",calcdata,2,0)</f>
        <v>0</v>
      </c>
      <c r="J61" s="708"/>
      <c r="L61" s="708"/>
      <c r="M61" s="94"/>
    </row>
    <row r="62" spans="1:13" ht="13">
      <c r="A62" s="225"/>
      <c r="B62" s="22" t="s">
        <v>334</v>
      </c>
      <c r="D62" s="745"/>
      <c r="F62" s="772">
        <f>VLOOKUP("e_pdl_eop",calcdata,2,0)</f>
        <v>0</v>
      </c>
      <c r="J62" s="708"/>
      <c r="L62" s="708"/>
      <c r="M62" s="94"/>
    </row>
    <row r="63" spans="1:13" ht="13">
      <c r="A63" s="225"/>
      <c r="D63" s="745"/>
      <c r="F63" s="746"/>
      <c r="J63" s="709"/>
      <c r="L63" s="109"/>
      <c r="M63" s="94"/>
    </row>
    <row r="64" spans="1:13" ht="13">
      <c r="A64" s="225"/>
      <c r="B64" s="743" t="s">
        <v>284</v>
      </c>
      <c r="D64" s="745"/>
      <c r="M64" s="94"/>
    </row>
    <row r="65" spans="1:13">
      <c r="A65" s="225"/>
      <c r="B65" s="22" t="s">
        <v>335</v>
      </c>
      <c r="D65" s="745"/>
      <c r="F65" s="772">
        <f>VLOOKUP("f_pdl_bop",calcdata,2,0)</f>
        <v>0</v>
      </c>
      <c r="M65" s="94"/>
    </row>
    <row r="66" spans="1:13" ht="13">
      <c r="A66" s="225"/>
      <c r="B66" s="22" t="s">
        <v>336</v>
      </c>
      <c r="D66" s="745"/>
      <c r="F66" s="772">
        <f>VLOOKUP("f_debited_pdl",calcdata,2,0)</f>
        <v>3646087.28</v>
      </c>
      <c r="J66" s="703"/>
      <c r="L66" s="703"/>
      <c r="M66" s="94"/>
    </row>
    <row r="67" spans="1:13" ht="13">
      <c r="A67" s="225"/>
      <c r="B67" s="22" t="s">
        <v>337</v>
      </c>
      <c r="D67" s="745"/>
      <c r="F67" s="772">
        <f>VLOOKUP("f_credited_pdl",calcdata,2,0)</f>
        <v>3646087.28</v>
      </c>
      <c r="J67" s="708"/>
      <c r="L67" s="708"/>
      <c r="M67" s="94"/>
    </row>
    <row r="68" spans="1:13" ht="13">
      <c r="A68" s="225"/>
      <c r="B68" s="22" t="s">
        <v>338</v>
      </c>
      <c r="D68" s="745"/>
      <c r="F68" s="772">
        <f>VLOOKUP("f_pdl_eop",calcdata,2,0)</f>
        <v>0</v>
      </c>
      <c r="J68" s="708"/>
      <c r="L68" s="708"/>
      <c r="M68" s="94"/>
    </row>
    <row r="69" spans="1:13" ht="13">
      <c r="A69" s="225"/>
      <c r="D69" s="745"/>
      <c r="F69" s="746"/>
      <c r="J69" s="709"/>
      <c r="L69" s="109"/>
      <c r="M69" s="94"/>
    </row>
    <row r="70" spans="1:13">
      <c r="A70" s="289"/>
      <c r="B70" s="35"/>
      <c r="C70" s="35"/>
      <c r="D70" s="749"/>
      <c r="E70" s="35"/>
      <c r="F70" s="35"/>
      <c r="G70" s="35"/>
      <c r="H70" s="35"/>
      <c r="I70" s="35"/>
      <c r="J70" s="35"/>
      <c r="K70" s="35"/>
      <c r="L70" s="35"/>
      <c r="M70" s="95"/>
    </row>
    <row r="72" spans="1:13">
      <c r="H72" s="252"/>
    </row>
    <row r="73" spans="1:13">
      <c r="H73" s="252"/>
    </row>
    <row r="75" spans="1:13">
      <c r="C75" s="297"/>
      <c r="D75" s="645"/>
      <c r="F75" s="645"/>
      <c r="H75" s="252"/>
    </row>
    <row r="76" spans="1:13">
      <c r="C76" s="297"/>
      <c r="D76" s="645"/>
      <c r="F76" s="645"/>
    </row>
    <row r="78" spans="1:13">
      <c r="C78" s="297"/>
      <c r="D78" s="297"/>
      <c r="E78" s="297"/>
      <c r="F78" s="297"/>
    </row>
  </sheetData>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43.81640625" style="22" customWidth="1"/>
    <col min="3" max="3" width="15.81640625" style="22" customWidth="1"/>
    <col min="4" max="4" width="20.81640625" style="22" customWidth="1"/>
    <col min="5" max="5" width="15.54296875" style="22" customWidth="1"/>
    <col min="6" max="6" width="20.81640625" style="22" customWidth="1"/>
    <col min="7" max="7" width="14.453125" style="22" customWidth="1"/>
    <col min="8" max="10" width="15.54296875" style="22" customWidth="1"/>
    <col min="11" max="12" width="14.4531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80"/>
      <c r="M1" s="224"/>
    </row>
    <row r="2" spans="1:13" ht="18">
      <c r="A2" s="225"/>
      <c r="B2" s="226" t="str">
        <f>'Cover Sheet'!B2</f>
        <v>SC Germany Consumer 2024-1</v>
      </c>
      <c r="C2" s="226"/>
      <c r="D2" s="227" t="str">
        <f>'Cover Sheet'!D2</f>
        <v>Calculation Date</v>
      </c>
      <c r="E2" s="228"/>
      <c r="F2" s="229">
        <f>'Cover Sheet'!F2</f>
        <v>45911</v>
      </c>
      <c r="G2" s="228"/>
      <c r="H2" s="228"/>
      <c r="I2" s="228"/>
      <c r="J2" s="228"/>
      <c r="K2" s="228"/>
      <c r="L2" s="230"/>
      <c r="M2" s="94"/>
    </row>
    <row r="3" spans="1:13" ht="18">
      <c r="A3" s="225"/>
      <c r="B3" s="226" t="str">
        <f>'Cover Sheet'!B3</f>
        <v>Monthly Investor Report</v>
      </c>
      <c r="C3" s="226"/>
      <c r="D3" s="232" t="str">
        <f>'Cover Sheet'!D3</f>
        <v>Payment Date</v>
      </c>
      <c r="E3" s="233"/>
      <c r="F3" s="234">
        <f>'Cover Sheet'!F3</f>
        <v>45915</v>
      </c>
      <c r="G3" s="233"/>
      <c r="H3" s="233"/>
      <c r="I3" s="233"/>
      <c r="J3" s="233"/>
      <c r="K3" s="233"/>
      <c r="L3" s="235"/>
      <c r="M3" s="94"/>
    </row>
    <row r="4" spans="1:13">
      <c r="A4" s="225"/>
      <c r="B4" s="741"/>
      <c r="C4" s="109"/>
      <c r="D4" s="232" t="str">
        <f>'Cover Sheet'!D4</f>
        <v>Period  No</v>
      </c>
      <c r="E4" s="233"/>
      <c r="F4" s="237">
        <f>'Cover Sheet'!F4</f>
        <v>16</v>
      </c>
      <c r="G4" s="233"/>
      <c r="H4" s="238"/>
      <c r="I4" s="233"/>
      <c r="J4" s="243"/>
      <c r="K4" s="233"/>
      <c r="L4" s="239"/>
      <c r="M4" s="94"/>
    </row>
    <row r="5" spans="1:13" ht="18">
      <c r="A5" s="225"/>
      <c r="B5" s="240" t="s">
        <v>351</v>
      </c>
      <c r="C5" s="240"/>
      <c r="D5" s="232" t="str">
        <f>'Cover Sheet'!D5</f>
        <v>Monthly Period</v>
      </c>
      <c r="E5" s="233"/>
      <c r="F5" s="130">
        <f>'Cover Sheet'!F5</f>
        <v>45915</v>
      </c>
      <c r="G5" s="233"/>
      <c r="H5" s="238"/>
      <c r="I5" s="233"/>
      <c r="J5" s="243"/>
      <c r="K5" s="233"/>
      <c r="L5" s="239"/>
      <c r="M5" s="94"/>
    </row>
    <row r="6" spans="1:13" ht="15" customHeight="1">
      <c r="A6" s="225"/>
      <c r="B6" s="241"/>
      <c r="C6" s="236"/>
      <c r="D6" s="232" t="str">
        <f>'Cover Sheet'!D6</f>
        <v>Interest Period</v>
      </c>
      <c r="E6" s="243" t="str">
        <f>'Cover Sheet'!E6</f>
        <v>from</v>
      </c>
      <c r="F6" s="234">
        <f>'Cover Sheet'!F6</f>
        <v>45883</v>
      </c>
      <c r="G6" s="243" t="str">
        <f>'Cover Sheet'!G6</f>
        <v>to</v>
      </c>
      <c r="H6" s="234">
        <f>'Cover Sheet'!H6</f>
        <v>45915</v>
      </c>
      <c r="I6" s="243" t="str">
        <f>'Cover Sheet'!I6</f>
        <v>=</v>
      </c>
      <c r="J6" s="716" t="str">
        <f>'Cover Sheet'!J6</f>
        <v>32 days</v>
      </c>
      <c r="K6" s="243"/>
      <c r="L6" s="332"/>
      <c r="M6" s="299"/>
    </row>
    <row r="7" spans="1:13">
      <c r="A7" s="225"/>
      <c r="D7" s="607" t="str">
        <f>'Cover Sheet'!D7</f>
        <v>Collection Period</v>
      </c>
      <c r="E7" s="608" t="str">
        <f>'Cover Sheet'!E7</f>
        <v>from</v>
      </c>
      <c r="F7" s="247" t="str">
        <f>'Cover Sheet'!F7</f>
        <v>01.08.2025</v>
      </c>
      <c r="G7" s="608" t="str">
        <f>'Cover Sheet'!G7</f>
        <v>to</v>
      </c>
      <c r="H7" s="247">
        <f>'Cover Sheet'!H7</f>
        <v>45900</v>
      </c>
      <c r="I7" s="248"/>
      <c r="J7" s="248"/>
      <c r="K7" s="248"/>
      <c r="L7" s="249"/>
      <c r="M7" s="94"/>
    </row>
    <row r="8" spans="1:13" ht="13">
      <c r="A8" s="225"/>
      <c r="D8" s="717"/>
      <c r="E8" s="5"/>
      <c r="F8" s="231"/>
      <c r="H8" s="250"/>
      <c r="J8" s="250"/>
      <c r="L8" s="869"/>
      <c r="M8" s="94"/>
    </row>
    <row r="9" spans="1:13">
      <c r="A9" s="225"/>
      <c r="D9" s="109"/>
      <c r="M9" s="94"/>
    </row>
    <row r="10" spans="1:13">
      <c r="A10" s="225"/>
      <c r="D10" s="109"/>
      <c r="M10" s="94"/>
    </row>
    <row r="11" spans="1:13" ht="18" customHeight="1">
      <c r="A11" s="225"/>
      <c r="D11" s="109"/>
      <c r="M11" s="94"/>
    </row>
    <row r="12" spans="1:13">
      <c r="A12" s="225"/>
      <c r="D12" s="109"/>
      <c r="M12" s="94"/>
    </row>
    <row r="13" spans="1:13" ht="18">
      <c r="A13" s="225"/>
      <c r="B13" s="226"/>
      <c r="D13" s="708"/>
      <c r="F13" s="226"/>
      <c r="L13" s="870"/>
      <c r="M13" s="94"/>
    </row>
    <row r="14" spans="1:13">
      <c r="A14" s="225"/>
      <c r="D14" s="718"/>
      <c r="M14" s="94"/>
    </row>
    <row r="15" spans="1:13">
      <c r="A15" s="225"/>
      <c r="D15" s="718"/>
      <c r="M15" s="94"/>
    </row>
    <row r="16" spans="1:13" ht="13" thickBot="1">
      <c r="A16" s="225"/>
      <c r="D16" s="719"/>
      <c r="L16" s="868"/>
      <c r="M16" s="94"/>
    </row>
    <row r="17" spans="1:23" ht="18.5" thickBot="1">
      <c r="A17" s="225"/>
      <c r="B17" s="226" t="s">
        <v>346</v>
      </c>
      <c r="C17" s="720"/>
      <c r="D17" s="720"/>
      <c r="E17" s="720"/>
      <c r="F17" s="708"/>
      <c r="G17" s="708"/>
      <c r="I17" s="898" t="s">
        <v>412</v>
      </c>
      <c r="J17" s="899"/>
      <c r="K17" s="900"/>
      <c r="L17" s="871">
        <f>IF(AND($F$4&gt;7,$F$4&lt;33),AVERAGE(VLOOKUP($F$4,$B$21:$L$100,11,FALSE),VLOOKUP(($F$4)-1,$B$21:$L$100,11,FALSE),VLOOKUP(($F$4)-2,$B$21:$L$100,11,FALSE)),"n/a")</f>
        <v>2.8930204360981524E-3</v>
      </c>
      <c r="M17" s="94"/>
    </row>
    <row r="18" spans="1:23" ht="18">
      <c r="A18" s="225"/>
      <c r="B18" s="226"/>
      <c r="C18" s="720"/>
      <c r="D18" s="720"/>
      <c r="E18" s="720"/>
      <c r="F18" s="708"/>
      <c r="G18" s="708"/>
      <c r="H18" s="720"/>
      <c r="J18" s="720"/>
      <c r="L18" s="867"/>
      <c r="M18" s="94"/>
    </row>
    <row r="19" spans="1:23" ht="13.5" thickBot="1">
      <c r="A19" s="225"/>
      <c r="B19" s="872"/>
      <c r="G19" s="708"/>
      <c r="H19" s="720"/>
      <c r="J19" s="720"/>
      <c r="L19" s="868"/>
      <c r="M19" s="94"/>
    </row>
    <row r="20" spans="1:23" ht="44" thickBot="1">
      <c r="A20" s="225"/>
      <c r="B20" s="721" t="s">
        <v>111</v>
      </c>
      <c r="C20" s="721" t="s">
        <v>314</v>
      </c>
      <c r="D20" s="721" t="s">
        <v>341</v>
      </c>
      <c r="E20" s="721" t="s">
        <v>339</v>
      </c>
      <c r="F20" s="721" t="s">
        <v>340</v>
      </c>
      <c r="G20" s="721" t="s">
        <v>345</v>
      </c>
      <c r="H20" s="721" t="s">
        <v>342</v>
      </c>
      <c r="I20" s="721" t="s">
        <v>343</v>
      </c>
      <c r="J20" s="721" t="s">
        <v>344</v>
      </c>
      <c r="K20" s="721" t="s">
        <v>405</v>
      </c>
      <c r="L20" s="722" t="s">
        <v>409</v>
      </c>
      <c r="M20" s="251"/>
      <c r="O20" s="723"/>
      <c r="Q20" s="724"/>
      <c r="R20" s="725"/>
      <c r="S20" s="725"/>
      <c r="V20" s="645"/>
      <c r="W20" s="726"/>
    </row>
    <row r="21" spans="1:23">
      <c r="A21" s="225"/>
      <c r="B21" s="375">
        <v>1</v>
      </c>
      <c r="C21" s="727">
        <f t="shared" ref="C21:C52" si="0">IF($F$4&gt;=$B21,VLOOKUP(CONCATENATE("defaults_",$B21),defaults,2,0),"")</f>
        <v>0</v>
      </c>
      <c r="D21" s="779">
        <f t="shared" ref="D21:D52" si="1">IF($F$4&gt;=$B21,VLOOKUP(CONCATENATE("defaults_",$B21),defaults,3,0),"")</f>
        <v>0</v>
      </c>
      <c r="E21" s="779">
        <f t="shared" ref="E21:E52" si="2">IF($F$4&gt;=$B21,VLOOKUP(CONCATENATE("defaults_",$B21),defaults,4,0),"")</f>
        <v>0</v>
      </c>
      <c r="F21" s="779">
        <f t="shared" ref="F21:F52" si="3">IF($F$4&gt;=$B21,VLOOKUP(CONCATENATE("defaults_",$B21),defaults,5,0),"")</f>
        <v>1541102469.4400001</v>
      </c>
      <c r="G21" s="780">
        <f t="shared" ref="G21:G52" si="4">IF($F$4&gt;=$B21,VLOOKUP(CONCATENATE("defaults_",$B21),defaults,6,0),"")</f>
        <v>0</v>
      </c>
      <c r="H21" s="781">
        <f t="shared" ref="H21:H52" si="5">IF($F$4&gt;=$B21,VLOOKUP(CONCATENATE("defaults_",$B21),defaults,7,0),"")</f>
        <v>0</v>
      </c>
      <c r="I21" s="782">
        <f t="shared" ref="I21:I52" si="6">IF($F$4&gt;=$B21,VLOOKUP(CONCATENATE("defaults_",$B21),defaults,8,0),"")</f>
        <v>0</v>
      </c>
      <c r="J21" s="781">
        <f t="shared" ref="J21:J52" si="7">IF($F$4&gt;=$B21,VLOOKUP(CONCATENATE("defaults_",$B21),defaults,9,0),"")</f>
        <v>0</v>
      </c>
      <c r="K21" s="780">
        <f t="shared" ref="K21:K52" si="8">IF($F$4&gt;=$B21,VLOOKUP(CONCATENATE("defaults_",$B21),defaults,10,0),"")</f>
        <v>0</v>
      </c>
      <c r="L21" s="806" t="s">
        <v>228</v>
      </c>
      <c r="M21" s="94"/>
      <c r="Q21" s="724"/>
      <c r="R21" s="725"/>
      <c r="S21" s="724"/>
      <c r="U21" s="109"/>
    </row>
    <row r="22" spans="1:23">
      <c r="A22" s="225"/>
      <c r="B22" s="375">
        <v>2</v>
      </c>
      <c r="C22" s="727">
        <f t="shared" si="0"/>
        <v>1</v>
      </c>
      <c r="D22" s="779">
        <f t="shared" si="1"/>
        <v>10607.83</v>
      </c>
      <c r="E22" s="779">
        <f t="shared" si="2"/>
        <v>10607.83</v>
      </c>
      <c r="F22" s="779">
        <f t="shared" si="3"/>
        <v>1585423063.0699999</v>
      </c>
      <c r="G22" s="780">
        <f t="shared" si="4"/>
        <v>6.6908513235950316E-6</v>
      </c>
      <c r="H22" s="781">
        <f t="shared" si="5"/>
        <v>-60.85</v>
      </c>
      <c r="I22" s="782">
        <f t="shared" si="6"/>
        <v>-60.85</v>
      </c>
      <c r="J22" s="781">
        <f t="shared" si="7"/>
        <v>10668.68</v>
      </c>
      <c r="K22" s="780">
        <f t="shared" si="8"/>
        <v>6.7292322462758026E-6</v>
      </c>
      <c r="L22" s="729">
        <f>IF($B22&lt;=$F$4,($D22-$H22)/'3.1 Delinquency Data'!C22,"")</f>
        <v>7.1124536971116323E-6</v>
      </c>
      <c r="M22" s="94"/>
      <c r="O22" s="730"/>
      <c r="Q22" s="724"/>
      <c r="R22" s="725"/>
      <c r="S22" s="725"/>
    </row>
    <row r="23" spans="1:23" ht="13">
      <c r="A23" s="225"/>
      <c r="B23" s="375">
        <v>3</v>
      </c>
      <c r="C23" s="727">
        <f t="shared" si="0"/>
        <v>17</v>
      </c>
      <c r="D23" s="779">
        <f t="shared" si="1"/>
        <v>597625.61</v>
      </c>
      <c r="E23" s="779">
        <f t="shared" si="2"/>
        <v>608233.43999999994</v>
      </c>
      <c r="F23" s="779">
        <f t="shared" si="3"/>
        <v>1635778406.99</v>
      </c>
      <c r="G23" s="780">
        <f t="shared" si="4"/>
        <v>3.7183119510619518E-4</v>
      </c>
      <c r="H23" s="781">
        <f t="shared" si="5"/>
        <v>-2686.47</v>
      </c>
      <c r="I23" s="782">
        <f t="shared" si="6"/>
        <v>-2747.32</v>
      </c>
      <c r="J23" s="781">
        <f t="shared" si="7"/>
        <v>610980.76</v>
      </c>
      <c r="K23" s="780">
        <f t="shared" si="8"/>
        <v>3.7351071354723835E-4</v>
      </c>
      <c r="L23" s="729">
        <f>IF($B23&lt;=$F$4,($D23-$H23)/'3.1 Delinquency Data'!C23,"")</f>
        <v>4.0020805453662553E-4</v>
      </c>
      <c r="M23" s="731"/>
      <c r="Q23" s="724"/>
      <c r="R23" s="732"/>
      <c r="S23" s="732"/>
      <c r="V23" s="645"/>
      <c r="W23" s="703"/>
    </row>
    <row r="24" spans="1:23" ht="13">
      <c r="A24" s="225"/>
      <c r="B24" s="375">
        <v>4</v>
      </c>
      <c r="C24" s="727">
        <f t="shared" si="0"/>
        <v>73</v>
      </c>
      <c r="D24" s="779">
        <f t="shared" si="1"/>
        <v>1145668.7</v>
      </c>
      <c r="E24" s="779">
        <f t="shared" si="2"/>
        <v>1753902.14</v>
      </c>
      <c r="F24" s="779">
        <f t="shared" si="3"/>
        <v>1682524642.5899999</v>
      </c>
      <c r="G24" s="780">
        <f t="shared" si="4"/>
        <v>1.0424228540867756E-3</v>
      </c>
      <c r="H24" s="781">
        <f t="shared" si="5"/>
        <v>-4625.67</v>
      </c>
      <c r="I24" s="782">
        <f t="shared" si="6"/>
        <v>-7372.99</v>
      </c>
      <c r="J24" s="781">
        <f t="shared" si="7"/>
        <v>1761275.13</v>
      </c>
      <c r="K24" s="780">
        <f t="shared" si="8"/>
        <v>1.0468049533519906E-3</v>
      </c>
      <c r="L24" s="729">
        <f>IF($B24&lt;=$F$4,($D24-$H24)/'3.1 Delinquency Data'!C24,"")</f>
        <v>7.6686291466767471E-4</v>
      </c>
      <c r="M24" s="251"/>
      <c r="N24" s="21"/>
      <c r="O24" s="703"/>
      <c r="P24" s="21"/>
      <c r="Q24" s="733"/>
      <c r="R24" s="734"/>
      <c r="S24" s="732"/>
      <c r="T24" s="21"/>
      <c r="V24" s="645"/>
      <c r="W24" s="726"/>
    </row>
    <row r="25" spans="1:23">
      <c r="A25" s="225"/>
      <c r="B25" s="375">
        <v>5</v>
      </c>
      <c r="C25" s="727">
        <f t="shared" si="0"/>
        <v>156</v>
      </c>
      <c r="D25" s="779">
        <f t="shared" si="1"/>
        <v>2535362.5</v>
      </c>
      <c r="E25" s="779">
        <f t="shared" si="2"/>
        <v>4289264.6399999997</v>
      </c>
      <c r="F25" s="779">
        <f t="shared" si="3"/>
        <v>1730729044.04</v>
      </c>
      <c r="G25" s="780">
        <f t="shared" si="4"/>
        <v>2.4782993356300704E-3</v>
      </c>
      <c r="H25" s="781">
        <f t="shared" si="5"/>
        <v>-7904.55</v>
      </c>
      <c r="I25" s="782">
        <f t="shared" si="6"/>
        <v>-15277.54</v>
      </c>
      <c r="J25" s="781">
        <f t="shared" si="7"/>
        <v>4304542.18</v>
      </c>
      <c r="K25" s="780">
        <f t="shared" si="8"/>
        <v>2.4871265637005824E-3</v>
      </c>
      <c r="L25" s="729">
        <f>IF($B25&lt;=$F$4,($D25-$H25)/'3.1 Delinquency Data'!C25,"")</f>
        <v>1.6955114066355219E-3</v>
      </c>
      <c r="M25" s="94"/>
      <c r="Q25" s="724"/>
      <c r="R25" s="725"/>
      <c r="S25" s="724"/>
      <c r="U25" s="109"/>
    </row>
    <row r="26" spans="1:23">
      <c r="A26" s="225"/>
      <c r="B26" s="375">
        <v>6</v>
      </c>
      <c r="C26" s="727">
        <f t="shared" si="0"/>
        <v>254</v>
      </c>
      <c r="D26" s="779">
        <f t="shared" si="1"/>
        <v>2524769.86</v>
      </c>
      <c r="E26" s="779">
        <f t="shared" si="2"/>
        <v>6814034.5</v>
      </c>
      <c r="F26" s="779">
        <f t="shared" si="3"/>
        <v>1779369819.3299999</v>
      </c>
      <c r="G26" s="780">
        <f t="shared" si="4"/>
        <v>3.8294650308083461E-3</v>
      </c>
      <c r="H26" s="781">
        <f t="shared" si="5"/>
        <v>30231.47</v>
      </c>
      <c r="I26" s="782">
        <f t="shared" si="6"/>
        <v>14953.93</v>
      </c>
      <c r="J26" s="781">
        <f t="shared" si="7"/>
        <v>6799080.5700000003</v>
      </c>
      <c r="K26" s="780">
        <f t="shared" si="8"/>
        <v>3.8210609712151411E-3</v>
      </c>
      <c r="L26" s="729">
        <f>IF($B26&lt;=$F$4,($D26-$H26)/'3.1 Delinquency Data'!C26,"")</f>
        <v>1.6630256200969589E-3</v>
      </c>
      <c r="M26" s="94"/>
      <c r="Q26" s="724"/>
      <c r="R26" s="725"/>
      <c r="S26" s="724"/>
      <c r="U26" s="109"/>
    </row>
    <row r="27" spans="1:23">
      <c r="A27" s="225"/>
      <c r="B27" s="375">
        <v>7</v>
      </c>
      <c r="C27" s="727">
        <f t="shared" si="0"/>
        <v>358</v>
      </c>
      <c r="D27" s="779">
        <f t="shared" si="1"/>
        <v>2305417.02</v>
      </c>
      <c r="E27" s="779">
        <f t="shared" si="2"/>
        <v>9119451.5199999996</v>
      </c>
      <c r="F27" s="779">
        <f t="shared" si="3"/>
        <v>1821839776.9400001</v>
      </c>
      <c r="G27" s="780">
        <f t="shared" si="4"/>
        <v>5.0056276273192472E-3</v>
      </c>
      <c r="H27" s="781">
        <f t="shared" si="5"/>
        <v>-341.43</v>
      </c>
      <c r="I27" s="782">
        <f t="shared" si="6"/>
        <v>14612.5</v>
      </c>
      <c r="J27" s="781">
        <f t="shared" si="7"/>
        <v>9104839.0199999996</v>
      </c>
      <c r="K27" s="780">
        <f t="shared" si="8"/>
        <v>4.9976068890606158E-3</v>
      </c>
      <c r="L27" s="729">
        <f>IF($B27&lt;=$F$4,($D27-$H27)/'3.1 Delinquency Data'!C27,"")</f>
        <v>1.5371723377119613E-3</v>
      </c>
      <c r="M27" s="94"/>
      <c r="O27" s="730"/>
      <c r="Q27" s="724"/>
      <c r="R27" s="732"/>
      <c r="S27" s="732"/>
    </row>
    <row r="28" spans="1:23">
      <c r="A28" s="225"/>
      <c r="B28" s="375">
        <v>8</v>
      </c>
      <c r="C28" s="727">
        <f t="shared" si="0"/>
        <v>488</v>
      </c>
      <c r="D28" s="779">
        <f t="shared" si="1"/>
        <v>2881810.43</v>
      </c>
      <c r="E28" s="779">
        <f t="shared" si="2"/>
        <v>12001261.949999999</v>
      </c>
      <c r="F28" s="779">
        <f t="shared" si="3"/>
        <v>1821839776.9400001</v>
      </c>
      <c r="G28" s="780">
        <f t="shared" si="4"/>
        <v>6.58744094947667E-3</v>
      </c>
      <c r="H28" s="781">
        <f t="shared" si="5"/>
        <v>32866.99</v>
      </c>
      <c r="I28" s="782">
        <f t="shared" si="6"/>
        <v>47479.49</v>
      </c>
      <c r="J28" s="781">
        <f t="shared" si="7"/>
        <v>11953782.460000001</v>
      </c>
      <c r="K28" s="780">
        <f t="shared" si="8"/>
        <v>6.5613796620896158E-3</v>
      </c>
      <c r="L28" s="729">
        <f>IF($B28&lt;=$F$4,($D28-$H28)/'3.1 Delinquency Data'!C28,"")</f>
        <v>1.8992956370748068E-3</v>
      </c>
      <c r="M28" s="94"/>
      <c r="Q28" s="724"/>
      <c r="R28" s="732"/>
      <c r="S28" s="732"/>
    </row>
    <row r="29" spans="1:23" ht="13">
      <c r="A29" s="225"/>
      <c r="B29" s="375">
        <v>9</v>
      </c>
      <c r="C29" s="727">
        <f t="shared" si="0"/>
        <v>648</v>
      </c>
      <c r="D29" s="779">
        <f t="shared" si="1"/>
        <v>3767763.23</v>
      </c>
      <c r="E29" s="779">
        <f t="shared" si="2"/>
        <v>15769025.18</v>
      </c>
      <c r="F29" s="779">
        <f t="shared" si="3"/>
        <v>1821839776.9400001</v>
      </c>
      <c r="G29" s="780">
        <f t="shared" si="4"/>
        <v>8.6555499444006985E-3</v>
      </c>
      <c r="H29" s="781">
        <f t="shared" si="5"/>
        <v>43790.36</v>
      </c>
      <c r="I29" s="782">
        <f t="shared" si="6"/>
        <v>91269.85</v>
      </c>
      <c r="J29" s="781">
        <f t="shared" si="7"/>
        <v>15677755.33</v>
      </c>
      <c r="K29" s="780">
        <f t="shared" si="8"/>
        <v>8.6054523171805383E-3</v>
      </c>
      <c r="L29" s="729">
        <f>IF($B29&lt;=$F$4,($D29-$H29)/'3.1 Delinquency Data'!C29,"")</f>
        <v>2.4826486178852183E-3</v>
      </c>
      <c r="M29" s="251"/>
      <c r="N29" s="21"/>
      <c r="O29" s="703"/>
      <c r="P29" s="21"/>
      <c r="Q29" s="735"/>
      <c r="R29" s="734"/>
      <c r="S29" s="732"/>
      <c r="T29" s="21"/>
      <c r="U29" s="703"/>
    </row>
    <row r="30" spans="1:23">
      <c r="A30" s="225"/>
      <c r="B30" s="375">
        <v>10</v>
      </c>
      <c r="C30" s="727">
        <f t="shared" si="0"/>
        <v>812</v>
      </c>
      <c r="D30" s="779">
        <f t="shared" si="1"/>
        <v>3479713.94</v>
      </c>
      <c r="E30" s="779">
        <f t="shared" si="2"/>
        <v>19248739.120000001</v>
      </c>
      <c r="F30" s="779">
        <f t="shared" si="3"/>
        <v>1821839776.9400001</v>
      </c>
      <c r="G30" s="780">
        <f t="shared" si="4"/>
        <v>1.0565549925762727E-2</v>
      </c>
      <c r="H30" s="781">
        <f t="shared" si="5"/>
        <v>18191.7</v>
      </c>
      <c r="I30" s="782">
        <f t="shared" si="6"/>
        <v>109461.55</v>
      </c>
      <c r="J30" s="781">
        <f t="shared" si="7"/>
        <v>19139277.57</v>
      </c>
      <c r="K30" s="780">
        <f t="shared" si="8"/>
        <v>1.0505466952833102E-2</v>
      </c>
      <c r="L30" s="729">
        <f>IF($B30&lt;=$F$4,($D30-$H30)/'3.1 Delinquency Data'!C30,"")</f>
        <v>2.3644387977774031E-3</v>
      </c>
      <c r="M30" s="94"/>
      <c r="Q30" s="724"/>
      <c r="R30" s="725"/>
      <c r="S30" s="724"/>
      <c r="U30" s="109"/>
    </row>
    <row r="31" spans="1:23">
      <c r="A31" s="225"/>
      <c r="B31" s="375">
        <v>11</v>
      </c>
      <c r="C31" s="727">
        <f t="shared" si="0"/>
        <v>990</v>
      </c>
      <c r="D31" s="779">
        <f t="shared" si="1"/>
        <v>3498739.67</v>
      </c>
      <c r="E31" s="779">
        <f t="shared" si="2"/>
        <v>22747478.789999999</v>
      </c>
      <c r="F31" s="779">
        <f t="shared" si="3"/>
        <v>1821839776.9400001</v>
      </c>
      <c r="G31" s="780">
        <f t="shared" si="4"/>
        <v>1.2485993048305893E-2</v>
      </c>
      <c r="H31" s="781">
        <f t="shared" si="5"/>
        <v>52893.82</v>
      </c>
      <c r="I31" s="782">
        <f t="shared" si="6"/>
        <v>162355.37</v>
      </c>
      <c r="J31" s="781">
        <f t="shared" si="7"/>
        <v>22585123.420000002</v>
      </c>
      <c r="K31" s="780">
        <f t="shared" si="8"/>
        <v>1.2396876885592234E-2</v>
      </c>
      <c r="L31" s="729">
        <f>IF($B31&lt;=$F$4,($D31-$H31)/'3.1 Delinquency Data'!C31,"")</f>
        <v>2.4348830410437414E-3</v>
      </c>
      <c r="M31" s="94"/>
      <c r="Q31" s="724"/>
      <c r="R31" s="725"/>
      <c r="S31" s="724"/>
      <c r="U31" s="109"/>
    </row>
    <row r="32" spans="1:23">
      <c r="A32" s="225"/>
      <c r="B32" s="375">
        <v>12</v>
      </c>
      <c r="C32" s="727">
        <f t="shared" si="0"/>
        <v>1162</v>
      </c>
      <c r="D32" s="779">
        <f t="shared" si="1"/>
        <v>4330592.1500000004</v>
      </c>
      <c r="E32" s="779">
        <f t="shared" si="2"/>
        <v>27078070.940000001</v>
      </c>
      <c r="F32" s="779">
        <f t="shared" si="3"/>
        <v>1821839776.9400001</v>
      </c>
      <c r="G32" s="780">
        <f t="shared" si="4"/>
        <v>1.4863036411182595E-2</v>
      </c>
      <c r="H32" s="781">
        <f t="shared" si="5"/>
        <v>44439.17</v>
      </c>
      <c r="I32" s="782">
        <f t="shared" si="6"/>
        <v>206794.54</v>
      </c>
      <c r="J32" s="781">
        <f t="shared" si="7"/>
        <v>26871276.399999999</v>
      </c>
      <c r="K32" s="780">
        <f t="shared" si="8"/>
        <v>1.4749527779623713E-2</v>
      </c>
      <c r="L32" s="729">
        <f>IF($B32&lt;=$F$4,($D32-$H32)/'3.1 Delinquency Data'!C32,"")</f>
        <v>3.1226854570434314E-3</v>
      </c>
      <c r="M32" s="94"/>
      <c r="O32" s="730"/>
      <c r="Q32" s="724"/>
      <c r="R32" s="732"/>
      <c r="S32" s="732"/>
    </row>
    <row r="33" spans="1:23" ht="13">
      <c r="A33" s="225"/>
      <c r="B33" s="375">
        <v>13</v>
      </c>
      <c r="C33" s="727">
        <f t="shared" si="0"/>
        <v>1368</v>
      </c>
      <c r="D33" s="779">
        <f t="shared" si="1"/>
        <v>4854709.32</v>
      </c>
      <c r="E33" s="779">
        <f t="shared" si="2"/>
        <v>31932780.260000002</v>
      </c>
      <c r="F33" s="779">
        <f t="shared" si="3"/>
        <v>1821839776.9400001</v>
      </c>
      <c r="G33" s="780">
        <f t="shared" si="4"/>
        <v>1.7527765429315063E-2</v>
      </c>
      <c r="H33" s="781">
        <f t="shared" si="5"/>
        <v>14545.19</v>
      </c>
      <c r="I33" s="782">
        <f t="shared" si="6"/>
        <v>221339.73</v>
      </c>
      <c r="J33" s="781">
        <f t="shared" si="7"/>
        <v>31711440.530000001</v>
      </c>
      <c r="K33" s="780">
        <f t="shared" si="8"/>
        <v>1.7406273005666387E-2</v>
      </c>
      <c r="L33" s="729">
        <f>IF($B33&lt;=$F$4,($D33-$H33)/'3.1 Delinquency Data'!C33,"")</f>
        <v>3.6346748103059674E-3</v>
      </c>
      <c r="M33" s="94"/>
      <c r="Q33" s="724"/>
      <c r="R33" s="732"/>
      <c r="S33" s="732"/>
      <c r="V33" s="736"/>
      <c r="W33" s="703"/>
    </row>
    <row r="34" spans="1:23" ht="13">
      <c r="A34" s="225"/>
      <c r="B34" s="375">
        <v>14</v>
      </c>
      <c r="C34" s="727">
        <f t="shared" si="0"/>
        <v>1507</v>
      </c>
      <c r="D34" s="779">
        <f t="shared" si="1"/>
        <v>3350004.4</v>
      </c>
      <c r="E34" s="779">
        <f t="shared" si="2"/>
        <v>35282784.659999996</v>
      </c>
      <c r="F34" s="779">
        <f t="shared" si="3"/>
        <v>1821839776.9400001</v>
      </c>
      <c r="G34" s="780">
        <f t="shared" si="4"/>
        <v>1.9366568403321228E-2</v>
      </c>
      <c r="H34" s="781">
        <f t="shared" si="5"/>
        <v>91203.18</v>
      </c>
      <c r="I34" s="782">
        <f t="shared" si="6"/>
        <v>312542.90999999997</v>
      </c>
      <c r="J34" s="781">
        <f t="shared" si="7"/>
        <v>34970241.75</v>
      </c>
      <c r="K34" s="780">
        <f t="shared" si="8"/>
        <v>1.9195014947327994E-2</v>
      </c>
      <c r="L34" s="729">
        <f>IF($B34&lt;=$F$4,($D34-$H34)/'3.1 Delinquency Data'!C34,"")</f>
        <v>2.5282862552092238E-3</v>
      </c>
      <c r="M34" s="251"/>
      <c r="N34" s="21"/>
      <c r="O34" s="703"/>
      <c r="P34" s="21"/>
      <c r="Q34" s="735"/>
      <c r="R34" s="734"/>
      <c r="S34" s="732"/>
    </row>
    <row r="35" spans="1:23">
      <c r="A35" s="225"/>
      <c r="B35" s="375">
        <v>15</v>
      </c>
      <c r="C35" s="727">
        <f t="shared" si="0"/>
        <v>1706</v>
      </c>
      <c r="D35" s="779">
        <f t="shared" si="1"/>
        <v>4096094.71</v>
      </c>
      <c r="E35" s="779">
        <f t="shared" si="2"/>
        <v>39378879.369999997</v>
      </c>
      <c r="F35" s="779">
        <f t="shared" si="3"/>
        <v>1821839776.9400001</v>
      </c>
      <c r="G35" s="780">
        <f t="shared" si="4"/>
        <v>2.1614897132250337E-2</v>
      </c>
      <c r="H35" s="781">
        <f t="shared" si="5"/>
        <v>73676.899999999994</v>
      </c>
      <c r="I35" s="782">
        <f t="shared" si="6"/>
        <v>386219.81</v>
      </c>
      <c r="J35" s="781">
        <f t="shared" si="7"/>
        <v>38992659.560000002</v>
      </c>
      <c r="K35" s="780">
        <f t="shared" si="8"/>
        <v>2.1402902743452488E-2</v>
      </c>
      <c r="L35" s="729">
        <f>IF($B35&lt;=$F$4,($D35-$H35)/'3.1 Delinquency Data'!C35,"")</f>
        <v>3.2250201194024605E-3</v>
      </c>
      <c r="M35" s="94"/>
      <c r="Q35" s="724"/>
      <c r="R35" s="725"/>
      <c r="S35" s="724"/>
      <c r="U35" s="109"/>
    </row>
    <row r="36" spans="1:23">
      <c r="A36" s="225"/>
      <c r="B36" s="375">
        <v>16</v>
      </c>
      <c r="C36" s="727">
        <f t="shared" si="0"/>
        <v>1883</v>
      </c>
      <c r="D36" s="779">
        <f t="shared" si="1"/>
        <v>3646087.28</v>
      </c>
      <c r="E36" s="779">
        <f t="shared" si="2"/>
        <v>43024966.649999999</v>
      </c>
      <c r="F36" s="779">
        <f t="shared" si="3"/>
        <v>1821839776.9400001</v>
      </c>
      <c r="G36" s="780">
        <f t="shared" si="4"/>
        <v>2.3616218722738409E-2</v>
      </c>
      <c r="H36" s="781">
        <f t="shared" si="5"/>
        <v>107353.22</v>
      </c>
      <c r="I36" s="782">
        <f t="shared" si="6"/>
        <v>493573.03</v>
      </c>
      <c r="J36" s="781">
        <f t="shared" si="7"/>
        <v>42531393.619999997</v>
      </c>
      <c r="K36" s="780">
        <f t="shared" si="8"/>
        <v>2.3345298614259376E-2</v>
      </c>
      <c r="L36" s="729">
        <f>IF($B36&lt;=$F$4,($D36-$H36)/'3.1 Delinquency Data'!C36,"")</f>
        <v>2.9257549336827722E-3</v>
      </c>
      <c r="M36" s="94"/>
      <c r="Q36" s="724"/>
      <c r="R36" s="725"/>
      <c r="S36" s="724"/>
      <c r="U36" s="109"/>
    </row>
    <row r="37" spans="1:23">
      <c r="A37" s="225"/>
      <c r="B37" s="375">
        <v>17</v>
      </c>
      <c r="C37" s="727" t="str">
        <f t="shared" si="0"/>
        <v/>
      </c>
      <c r="D37" s="779" t="str">
        <f t="shared" si="1"/>
        <v/>
      </c>
      <c r="E37" s="779" t="str">
        <f t="shared" si="2"/>
        <v/>
      </c>
      <c r="F37" s="779" t="str">
        <f t="shared" si="3"/>
        <v/>
      </c>
      <c r="G37" s="780" t="str">
        <f t="shared" si="4"/>
        <v/>
      </c>
      <c r="H37" s="781" t="str">
        <f t="shared" si="5"/>
        <v/>
      </c>
      <c r="I37" s="782" t="str">
        <f t="shared" si="6"/>
        <v/>
      </c>
      <c r="J37" s="781" t="str">
        <f t="shared" si="7"/>
        <v/>
      </c>
      <c r="K37" s="780" t="str">
        <f t="shared" si="8"/>
        <v/>
      </c>
      <c r="L37" s="729" t="str">
        <f>IF($B37&lt;=$F$4,($D37-$H37)/'3.1 Delinquency Data'!C37,"")</f>
        <v/>
      </c>
      <c r="M37" s="94"/>
      <c r="O37" s="730"/>
      <c r="Q37" s="724"/>
      <c r="R37" s="732"/>
      <c r="S37" s="732"/>
    </row>
    <row r="38" spans="1:23" ht="13">
      <c r="A38" s="225"/>
      <c r="B38" s="375">
        <v>18</v>
      </c>
      <c r="C38" s="727" t="str">
        <f t="shared" si="0"/>
        <v/>
      </c>
      <c r="D38" s="779" t="str">
        <f t="shared" si="1"/>
        <v/>
      </c>
      <c r="E38" s="779" t="str">
        <f t="shared" si="2"/>
        <v/>
      </c>
      <c r="F38" s="779" t="str">
        <f t="shared" si="3"/>
        <v/>
      </c>
      <c r="G38" s="780" t="str">
        <f t="shared" si="4"/>
        <v/>
      </c>
      <c r="H38" s="781" t="str">
        <f t="shared" si="5"/>
        <v/>
      </c>
      <c r="I38" s="782" t="str">
        <f t="shared" si="6"/>
        <v/>
      </c>
      <c r="J38" s="781" t="str">
        <f t="shared" si="7"/>
        <v/>
      </c>
      <c r="K38" s="780" t="str">
        <f t="shared" si="8"/>
        <v/>
      </c>
      <c r="L38" s="729" t="str">
        <f>IF($B38&lt;=$F$4,($D38-$H38)/'3.1 Delinquency Data'!C38,"")</f>
        <v/>
      </c>
      <c r="M38" s="94"/>
      <c r="Q38" s="724"/>
      <c r="R38" s="732"/>
      <c r="S38" s="732"/>
      <c r="W38" s="704"/>
    </row>
    <row r="39" spans="1:23" ht="13">
      <c r="A39" s="225"/>
      <c r="B39" s="375">
        <v>19</v>
      </c>
      <c r="C39" s="727" t="str">
        <f t="shared" si="0"/>
        <v/>
      </c>
      <c r="D39" s="779" t="str">
        <f t="shared" si="1"/>
        <v/>
      </c>
      <c r="E39" s="779" t="str">
        <f t="shared" si="2"/>
        <v/>
      </c>
      <c r="F39" s="779" t="str">
        <f t="shared" si="3"/>
        <v/>
      </c>
      <c r="G39" s="780" t="str">
        <f t="shared" si="4"/>
        <v/>
      </c>
      <c r="H39" s="781" t="str">
        <f t="shared" si="5"/>
        <v/>
      </c>
      <c r="I39" s="782" t="str">
        <f t="shared" si="6"/>
        <v/>
      </c>
      <c r="J39" s="781" t="str">
        <f t="shared" si="7"/>
        <v/>
      </c>
      <c r="K39" s="780" t="str">
        <f t="shared" si="8"/>
        <v/>
      </c>
      <c r="L39" s="729" t="str">
        <f>IF($B39&lt;=$F$4,($D39-$H39)/'3.1 Delinquency Data'!C39,"")</f>
        <v/>
      </c>
      <c r="M39" s="251"/>
      <c r="O39" s="723"/>
      <c r="Q39" s="724"/>
      <c r="R39" s="725"/>
      <c r="S39" s="725"/>
    </row>
    <row r="40" spans="1:23">
      <c r="A40" s="225"/>
      <c r="B40" s="375">
        <v>20</v>
      </c>
      <c r="C40" s="727" t="str">
        <f t="shared" si="0"/>
        <v/>
      </c>
      <c r="D40" s="779" t="str">
        <f t="shared" si="1"/>
        <v/>
      </c>
      <c r="E40" s="779" t="str">
        <f t="shared" si="2"/>
        <v/>
      </c>
      <c r="F40" s="779" t="str">
        <f t="shared" si="3"/>
        <v/>
      </c>
      <c r="G40" s="780" t="str">
        <f t="shared" si="4"/>
        <v/>
      </c>
      <c r="H40" s="781" t="str">
        <f t="shared" si="5"/>
        <v/>
      </c>
      <c r="I40" s="782" t="str">
        <f t="shared" si="6"/>
        <v/>
      </c>
      <c r="J40" s="781" t="str">
        <f t="shared" si="7"/>
        <v/>
      </c>
      <c r="K40" s="780" t="str">
        <f t="shared" si="8"/>
        <v/>
      </c>
      <c r="L40" s="729" t="str">
        <f>IF($B40&lt;=$F$4,($D40-$H40)/'3.1 Delinquency Data'!C40,"")</f>
        <v/>
      </c>
      <c r="M40" s="94"/>
      <c r="Q40" s="724"/>
      <c r="R40" s="725"/>
      <c r="S40" s="724"/>
      <c r="U40" s="109"/>
    </row>
    <row r="41" spans="1:23">
      <c r="A41" s="225"/>
      <c r="B41" s="375">
        <v>21</v>
      </c>
      <c r="C41" s="727" t="str">
        <f t="shared" si="0"/>
        <v/>
      </c>
      <c r="D41" s="779" t="str">
        <f t="shared" si="1"/>
        <v/>
      </c>
      <c r="E41" s="779" t="str">
        <f t="shared" si="2"/>
        <v/>
      </c>
      <c r="F41" s="779" t="str">
        <f t="shared" si="3"/>
        <v/>
      </c>
      <c r="G41" s="780" t="str">
        <f t="shared" si="4"/>
        <v/>
      </c>
      <c r="H41" s="781" t="str">
        <f t="shared" si="5"/>
        <v/>
      </c>
      <c r="I41" s="782" t="str">
        <f t="shared" si="6"/>
        <v/>
      </c>
      <c r="J41" s="781" t="str">
        <f t="shared" si="7"/>
        <v/>
      </c>
      <c r="K41" s="780" t="str">
        <f t="shared" si="8"/>
        <v/>
      </c>
      <c r="L41" s="729" t="str">
        <f>IF($B41&lt;=$F$4,($D41-$H41)/'3.1 Delinquency Data'!C41,"")</f>
        <v/>
      </c>
      <c r="M41" s="94"/>
      <c r="Q41" s="724"/>
      <c r="R41" s="725"/>
      <c r="S41" s="724"/>
      <c r="U41" s="109"/>
    </row>
    <row r="42" spans="1:23" ht="13">
      <c r="A42" s="225"/>
      <c r="B42" s="375">
        <v>22</v>
      </c>
      <c r="C42" s="727" t="str">
        <f t="shared" si="0"/>
        <v/>
      </c>
      <c r="D42" s="779" t="str">
        <f t="shared" si="1"/>
        <v/>
      </c>
      <c r="E42" s="779" t="str">
        <f t="shared" si="2"/>
        <v/>
      </c>
      <c r="F42" s="779" t="str">
        <f t="shared" si="3"/>
        <v/>
      </c>
      <c r="G42" s="780" t="str">
        <f t="shared" si="4"/>
        <v/>
      </c>
      <c r="H42" s="781" t="str">
        <f t="shared" si="5"/>
        <v/>
      </c>
      <c r="I42" s="782" t="str">
        <f t="shared" si="6"/>
        <v/>
      </c>
      <c r="J42" s="781" t="str">
        <f t="shared" si="7"/>
        <v/>
      </c>
      <c r="K42" s="780" t="str">
        <f t="shared" si="8"/>
        <v/>
      </c>
      <c r="L42" s="729" t="str">
        <f>IF($B42&lt;=$F$4,($D42-$H42)/'3.1 Delinquency Data'!C42,"")</f>
        <v/>
      </c>
      <c r="M42" s="94"/>
      <c r="O42" s="730"/>
      <c r="Q42" s="724"/>
      <c r="R42" s="725"/>
      <c r="S42" s="725"/>
      <c r="W42" s="703"/>
    </row>
    <row r="43" spans="1:23" ht="13">
      <c r="A43" s="225"/>
      <c r="B43" s="375">
        <v>23</v>
      </c>
      <c r="C43" s="727" t="str">
        <f t="shared" si="0"/>
        <v/>
      </c>
      <c r="D43" s="779" t="str">
        <f t="shared" si="1"/>
        <v/>
      </c>
      <c r="E43" s="779" t="str">
        <f t="shared" si="2"/>
        <v/>
      </c>
      <c r="F43" s="779" t="str">
        <f t="shared" si="3"/>
        <v/>
      </c>
      <c r="G43" s="780" t="str">
        <f t="shared" si="4"/>
        <v/>
      </c>
      <c r="H43" s="781" t="str">
        <f t="shared" si="5"/>
        <v/>
      </c>
      <c r="I43" s="782" t="str">
        <f t="shared" si="6"/>
        <v/>
      </c>
      <c r="J43" s="781" t="str">
        <f t="shared" si="7"/>
        <v/>
      </c>
      <c r="K43" s="780" t="str">
        <f t="shared" si="8"/>
        <v/>
      </c>
      <c r="L43" s="729" t="str">
        <f>IF($B43&lt;=$F$4,($D43-$H43)/'3.1 Delinquency Data'!C43,"")</f>
        <v/>
      </c>
      <c r="M43" s="94"/>
      <c r="Q43" s="724"/>
      <c r="R43" s="725"/>
      <c r="S43" s="725"/>
      <c r="W43" s="708"/>
    </row>
    <row r="44" spans="1:23" ht="13">
      <c r="A44" s="225"/>
      <c r="B44" s="375">
        <v>24</v>
      </c>
      <c r="C44" s="727" t="str">
        <f t="shared" si="0"/>
        <v/>
      </c>
      <c r="D44" s="779" t="str">
        <f t="shared" si="1"/>
        <v/>
      </c>
      <c r="E44" s="779" t="str">
        <f t="shared" si="2"/>
        <v/>
      </c>
      <c r="F44" s="779" t="str">
        <f t="shared" si="3"/>
        <v/>
      </c>
      <c r="G44" s="780" t="str">
        <f t="shared" si="4"/>
        <v/>
      </c>
      <c r="H44" s="781" t="str">
        <f t="shared" si="5"/>
        <v/>
      </c>
      <c r="I44" s="782" t="str">
        <f t="shared" si="6"/>
        <v/>
      </c>
      <c r="J44" s="781" t="str">
        <f t="shared" si="7"/>
        <v/>
      </c>
      <c r="K44" s="780" t="str">
        <f t="shared" si="8"/>
        <v/>
      </c>
      <c r="L44" s="729" t="str">
        <f>IF($B44&lt;=$F$4,($D44-$H44)/'3.1 Delinquency Data'!C44,"")</f>
        <v/>
      </c>
      <c r="M44" s="251"/>
      <c r="O44" s="723"/>
      <c r="Q44" s="724"/>
      <c r="R44" s="725"/>
      <c r="S44" s="725"/>
      <c r="W44" s="109"/>
    </row>
    <row r="45" spans="1:23">
      <c r="A45" s="225"/>
      <c r="B45" s="375">
        <v>25</v>
      </c>
      <c r="C45" s="727" t="str">
        <f t="shared" si="0"/>
        <v/>
      </c>
      <c r="D45" s="779" t="str">
        <f t="shared" si="1"/>
        <v/>
      </c>
      <c r="E45" s="779" t="str">
        <f t="shared" si="2"/>
        <v/>
      </c>
      <c r="F45" s="779" t="str">
        <f t="shared" si="3"/>
        <v/>
      </c>
      <c r="G45" s="780" t="str">
        <f t="shared" si="4"/>
        <v/>
      </c>
      <c r="H45" s="781" t="str">
        <f t="shared" si="5"/>
        <v/>
      </c>
      <c r="I45" s="782" t="str">
        <f t="shared" si="6"/>
        <v/>
      </c>
      <c r="J45" s="781" t="str">
        <f t="shared" si="7"/>
        <v/>
      </c>
      <c r="K45" s="780" t="str">
        <f t="shared" si="8"/>
        <v/>
      </c>
      <c r="L45" s="729" t="str">
        <f>IF($B45&lt;=$F$4,($D45-$H45)/'3.1 Delinquency Data'!C45,"")</f>
        <v/>
      </c>
      <c r="M45" s="94"/>
      <c r="Q45" s="724"/>
      <c r="R45" s="725"/>
      <c r="S45" s="724"/>
      <c r="U45" s="109"/>
    </row>
    <row r="46" spans="1:23">
      <c r="A46" s="225"/>
      <c r="B46" s="375">
        <v>26</v>
      </c>
      <c r="C46" s="727" t="str">
        <f t="shared" si="0"/>
        <v/>
      </c>
      <c r="D46" s="779" t="str">
        <f t="shared" si="1"/>
        <v/>
      </c>
      <c r="E46" s="779" t="str">
        <f t="shared" si="2"/>
        <v/>
      </c>
      <c r="F46" s="779" t="str">
        <f t="shared" si="3"/>
        <v/>
      </c>
      <c r="G46" s="780" t="str">
        <f t="shared" si="4"/>
        <v/>
      </c>
      <c r="H46" s="781" t="str">
        <f t="shared" si="5"/>
        <v/>
      </c>
      <c r="I46" s="782" t="str">
        <f t="shared" si="6"/>
        <v/>
      </c>
      <c r="J46" s="781" t="str">
        <f t="shared" si="7"/>
        <v/>
      </c>
      <c r="K46" s="780" t="str">
        <f t="shared" si="8"/>
        <v/>
      </c>
      <c r="L46" s="729" t="str">
        <f>IF($B46&lt;=$F$4,($D46-$H46)/'3.1 Delinquency Data'!C46,"")</f>
        <v/>
      </c>
      <c r="M46" s="94"/>
      <c r="Q46" s="724"/>
      <c r="R46" s="725"/>
      <c r="S46" s="724"/>
      <c r="U46" s="109"/>
    </row>
    <row r="47" spans="1:23">
      <c r="A47" s="225"/>
      <c r="B47" s="375">
        <v>27</v>
      </c>
      <c r="C47" s="727" t="str">
        <f t="shared" si="0"/>
        <v/>
      </c>
      <c r="D47" s="779" t="str">
        <f t="shared" si="1"/>
        <v/>
      </c>
      <c r="E47" s="779" t="str">
        <f t="shared" si="2"/>
        <v/>
      </c>
      <c r="F47" s="779" t="str">
        <f t="shared" si="3"/>
        <v/>
      </c>
      <c r="G47" s="780" t="str">
        <f t="shared" si="4"/>
        <v/>
      </c>
      <c r="H47" s="781" t="str">
        <f t="shared" si="5"/>
        <v/>
      </c>
      <c r="I47" s="782" t="str">
        <f t="shared" si="6"/>
        <v/>
      </c>
      <c r="J47" s="781" t="str">
        <f t="shared" si="7"/>
        <v/>
      </c>
      <c r="K47" s="780" t="str">
        <f t="shared" si="8"/>
        <v/>
      </c>
      <c r="L47" s="729" t="str">
        <f>IF($B47&lt;=$F$4,($D47-$H47)/'3.1 Delinquency Data'!C47,"")</f>
        <v/>
      </c>
      <c r="M47" s="94"/>
      <c r="O47" s="730"/>
      <c r="Q47" s="724"/>
      <c r="R47" s="725"/>
      <c r="S47" s="725"/>
    </row>
    <row r="48" spans="1:23" ht="12.75" customHeight="1">
      <c r="A48" s="225"/>
      <c r="B48" s="375">
        <v>28</v>
      </c>
      <c r="C48" s="727" t="str">
        <f t="shared" si="0"/>
        <v/>
      </c>
      <c r="D48" s="779" t="str">
        <f t="shared" si="1"/>
        <v/>
      </c>
      <c r="E48" s="779" t="str">
        <f t="shared" si="2"/>
        <v/>
      </c>
      <c r="F48" s="779" t="str">
        <f t="shared" si="3"/>
        <v/>
      </c>
      <c r="G48" s="780" t="str">
        <f t="shared" si="4"/>
        <v/>
      </c>
      <c r="H48" s="781" t="str">
        <f t="shared" si="5"/>
        <v/>
      </c>
      <c r="I48" s="782" t="str">
        <f t="shared" si="6"/>
        <v/>
      </c>
      <c r="J48" s="781" t="str">
        <f t="shared" si="7"/>
        <v/>
      </c>
      <c r="K48" s="780" t="str">
        <f t="shared" si="8"/>
        <v/>
      </c>
      <c r="L48" s="729" t="str">
        <f>IF($B48&lt;=$F$4,($D48-$H48)/'3.1 Delinquency Data'!C48,"")</f>
        <v/>
      </c>
      <c r="M48" s="94"/>
      <c r="Q48" s="737"/>
      <c r="S48" s="738"/>
    </row>
    <row r="49" spans="1:19" ht="12.75" customHeight="1">
      <c r="A49" s="225"/>
      <c r="B49" s="375">
        <v>29</v>
      </c>
      <c r="C49" s="727" t="str">
        <f t="shared" si="0"/>
        <v/>
      </c>
      <c r="D49" s="779" t="str">
        <f t="shared" si="1"/>
        <v/>
      </c>
      <c r="E49" s="779" t="str">
        <f t="shared" si="2"/>
        <v/>
      </c>
      <c r="F49" s="779" t="str">
        <f t="shared" si="3"/>
        <v/>
      </c>
      <c r="G49" s="780" t="str">
        <f t="shared" si="4"/>
        <v/>
      </c>
      <c r="H49" s="781" t="str">
        <f t="shared" si="5"/>
        <v/>
      </c>
      <c r="I49" s="782" t="str">
        <f t="shared" si="6"/>
        <v/>
      </c>
      <c r="J49" s="781" t="str">
        <f t="shared" si="7"/>
        <v/>
      </c>
      <c r="K49" s="780" t="str">
        <f t="shared" si="8"/>
        <v/>
      </c>
      <c r="L49" s="729" t="str">
        <f>IF($B49&lt;=$F$4,($D49-$H49)/'3.1 Delinquency Data'!C49,"")</f>
        <v/>
      </c>
      <c r="M49" s="94"/>
      <c r="Q49" s="109"/>
      <c r="S49" s="109"/>
    </row>
    <row r="50" spans="1:19">
      <c r="A50" s="225"/>
      <c r="B50" s="375">
        <v>30</v>
      </c>
      <c r="C50" s="727" t="str">
        <f t="shared" si="0"/>
        <v/>
      </c>
      <c r="D50" s="779" t="str">
        <f t="shared" si="1"/>
        <v/>
      </c>
      <c r="E50" s="779" t="str">
        <f t="shared" si="2"/>
        <v/>
      </c>
      <c r="F50" s="779" t="str">
        <f t="shared" si="3"/>
        <v/>
      </c>
      <c r="G50" s="780" t="str">
        <f t="shared" si="4"/>
        <v/>
      </c>
      <c r="H50" s="781" t="str">
        <f t="shared" si="5"/>
        <v/>
      </c>
      <c r="I50" s="782" t="str">
        <f t="shared" si="6"/>
        <v/>
      </c>
      <c r="J50" s="781" t="str">
        <f t="shared" si="7"/>
        <v/>
      </c>
      <c r="K50" s="780" t="str">
        <f t="shared" si="8"/>
        <v/>
      </c>
      <c r="L50" s="729" t="str">
        <f>IF($B50&lt;=$F$4,($D50-$H50)/'3.1 Delinquency Data'!C50,"")</f>
        <v/>
      </c>
      <c r="M50" s="94"/>
    </row>
    <row r="51" spans="1:19">
      <c r="A51" s="225"/>
      <c r="B51" s="375">
        <v>31</v>
      </c>
      <c r="C51" s="727" t="str">
        <f t="shared" si="0"/>
        <v/>
      </c>
      <c r="D51" s="779" t="str">
        <f t="shared" si="1"/>
        <v/>
      </c>
      <c r="E51" s="779" t="str">
        <f t="shared" si="2"/>
        <v/>
      </c>
      <c r="F51" s="779" t="str">
        <f t="shared" si="3"/>
        <v/>
      </c>
      <c r="G51" s="780" t="str">
        <f t="shared" si="4"/>
        <v/>
      </c>
      <c r="H51" s="781" t="str">
        <f t="shared" si="5"/>
        <v/>
      </c>
      <c r="I51" s="782" t="str">
        <f t="shared" si="6"/>
        <v/>
      </c>
      <c r="J51" s="781" t="str">
        <f t="shared" si="7"/>
        <v/>
      </c>
      <c r="K51" s="780" t="str">
        <f t="shared" si="8"/>
        <v/>
      </c>
      <c r="L51" s="729" t="str">
        <f>IF($B51&lt;=$F$4,($D51-$H51)/'3.1 Delinquency Data'!C51,"")</f>
        <v/>
      </c>
      <c r="M51" s="94"/>
      <c r="S51" s="252"/>
    </row>
    <row r="52" spans="1:19">
      <c r="A52" s="225"/>
      <c r="B52" s="375">
        <v>32</v>
      </c>
      <c r="C52" s="727" t="str">
        <f t="shared" si="0"/>
        <v/>
      </c>
      <c r="D52" s="779" t="str">
        <f t="shared" si="1"/>
        <v/>
      </c>
      <c r="E52" s="779" t="str">
        <f t="shared" si="2"/>
        <v/>
      </c>
      <c r="F52" s="779" t="str">
        <f t="shared" si="3"/>
        <v/>
      </c>
      <c r="G52" s="780" t="str">
        <f t="shared" si="4"/>
        <v/>
      </c>
      <c r="H52" s="781" t="str">
        <f t="shared" si="5"/>
        <v/>
      </c>
      <c r="I52" s="782" t="str">
        <f t="shared" si="6"/>
        <v/>
      </c>
      <c r="J52" s="781" t="str">
        <f t="shared" si="7"/>
        <v/>
      </c>
      <c r="K52" s="780" t="str">
        <f t="shared" si="8"/>
        <v/>
      </c>
      <c r="L52" s="729" t="str">
        <f>IF($B52&lt;=$F$4,($D52-$H52)/'3.1 Delinquency Data'!C52,"")</f>
        <v/>
      </c>
      <c r="M52" s="94"/>
      <c r="S52" s="252"/>
    </row>
    <row r="53" spans="1:19">
      <c r="A53" s="225"/>
      <c r="B53" s="375">
        <v>33</v>
      </c>
      <c r="C53" s="727" t="str">
        <f t="shared" ref="C53:C84" si="9">IF($F$4&gt;=$B53,VLOOKUP(CONCATENATE("defaults_",$B53),defaults,2,0),"")</f>
        <v/>
      </c>
      <c r="D53" s="779" t="str">
        <f t="shared" ref="D53:D84" si="10">IF($F$4&gt;=$B53,VLOOKUP(CONCATENATE("defaults_",$B53),defaults,3,0),"")</f>
        <v/>
      </c>
      <c r="E53" s="779" t="str">
        <f t="shared" ref="E53:E84" si="11">IF($F$4&gt;=$B53,VLOOKUP(CONCATENATE("defaults_",$B53),defaults,4,0),"")</f>
        <v/>
      </c>
      <c r="F53" s="779" t="str">
        <f t="shared" ref="F53:F84" si="12">IF($F$4&gt;=$B53,VLOOKUP(CONCATENATE("defaults_",$B53),defaults,5,0),"")</f>
        <v/>
      </c>
      <c r="G53" s="780" t="str">
        <f t="shared" ref="G53:G84" si="13">IF($F$4&gt;=$B53,VLOOKUP(CONCATENATE("defaults_",$B53),defaults,6,0),"")</f>
        <v/>
      </c>
      <c r="H53" s="781" t="str">
        <f t="shared" ref="H53:H84" si="14">IF($F$4&gt;=$B53,VLOOKUP(CONCATENATE("defaults_",$B53),defaults,7,0),"")</f>
        <v/>
      </c>
      <c r="I53" s="782" t="str">
        <f t="shared" ref="I53:I84" si="15">IF($F$4&gt;=$B53,VLOOKUP(CONCATENATE("defaults_",$B53),defaults,8,0),"")</f>
        <v/>
      </c>
      <c r="J53" s="781" t="str">
        <f t="shared" ref="J53:J84" si="16">IF($F$4&gt;=$B53,VLOOKUP(CONCATENATE("defaults_",$B53),defaults,9,0),"")</f>
        <v/>
      </c>
      <c r="K53" s="780" t="str">
        <f t="shared" ref="K53:K84" si="17">IF($F$4&gt;=$B53,VLOOKUP(CONCATENATE("defaults_",$B53),defaults,10,0),"")</f>
        <v/>
      </c>
      <c r="L53" s="729" t="str">
        <f>IF($B53&lt;=$F$4,($D53-$H53)/'3.1 Delinquency Data'!C53,"")</f>
        <v/>
      </c>
      <c r="M53" s="94"/>
    </row>
    <row r="54" spans="1:19">
      <c r="A54" s="225"/>
      <c r="B54" s="375">
        <v>34</v>
      </c>
      <c r="C54" s="727" t="str">
        <f t="shared" si="9"/>
        <v/>
      </c>
      <c r="D54" s="779" t="str">
        <f t="shared" si="10"/>
        <v/>
      </c>
      <c r="E54" s="779" t="str">
        <f t="shared" si="11"/>
        <v/>
      </c>
      <c r="F54" s="779" t="str">
        <f t="shared" si="12"/>
        <v/>
      </c>
      <c r="G54" s="780" t="str">
        <f t="shared" si="13"/>
        <v/>
      </c>
      <c r="H54" s="781" t="str">
        <f t="shared" si="14"/>
        <v/>
      </c>
      <c r="I54" s="782" t="str">
        <f t="shared" si="15"/>
        <v/>
      </c>
      <c r="J54" s="781" t="str">
        <f t="shared" si="16"/>
        <v/>
      </c>
      <c r="K54" s="780" t="str">
        <f t="shared" si="17"/>
        <v/>
      </c>
      <c r="L54" s="729" t="str">
        <f>IF($B54&lt;=$F$4,($D54-$H54)/'3.1 Delinquency Data'!C54,"")</f>
        <v/>
      </c>
      <c r="M54" s="94"/>
      <c r="N54" s="297"/>
      <c r="O54" s="645"/>
      <c r="Q54" s="645"/>
      <c r="S54" s="252"/>
    </row>
    <row r="55" spans="1:19">
      <c r="A55" s="225"/>
      <c r="B55" s="375">
        <v>35</v>
      </c>
      <c r="C55" s="727" t="str">
        <f t="shared" si="9"/>
        <v/>
      </c>
      <c r="D55" s="779" t="str">
        <f t="shared" si="10"/>
        <v/>
      </c>
      <c r="E55" s="779" t="str">
        <f t="shared" si="11"/>
        <v/>
      </c>
      <c r="F55" s="779" t="str">
        <f t="shared" si="12"/>
        <v/>
      </c>
      <c r="G55" s="780" t="str">
        <f t="shared" si="13"/>
        <v/>
      </c>
      <c r="H55" s="781" t="str">
        <f t="shared" si="14"/>
        <v/>
      </c>
      <c r="I55" s="782" t="str">
        <f t="shared" si="15"/>
        <v/>
      </c>
      <c r="J55" s="781" t="str">
        <f t="shared" si="16"/>
        <v/>
      </c>
      <c r="K55" s="780" t="str">
        <f t="shared" si="17"/>
        <v/>
      </c>
      <c r="L55" s="729" t="str">
        <f>IF($B55&lt;=$F$4,($D55-$H55)/'3.1 Delinquency Data'!C55,"")</f>
        <v/>
      </c>
      <c r="M55" s="94"/>
      <c r="N55" s="297"/>
      <c r="O55" s="645"/>
      <c r="Q55" s="645"/>
    </row>
    <row r="56" spans="1:19">
      <c r="A56" s="225"/>
      <c r="B56" s="375">
        <v>36</v>
      </c>
      <c r="C56" s="727" t="str">
        <f t="shared" si="9"/>
        <v/>
      </c>
      <c r="D56" s="779" t="str">
        <f t="shared" si="10"/>
        <v/>
      </c>
      <c r="E56" s="779" t="str">
        <f t="shared" si="11"/>
        <v/>
      </c>
      <c r="F56" s="779" t="str">
        <f t="shared" si="12"/>
        <v/>
      </c>
      <c r="G56" s="780" t="str">
        <f t="shared" si="13"/>
        <v/>
      </c>
      <c r="H56" s="781" t="str">
        <f t="shared" si="14"/>
        <v/>
      </c>
      <c r="I56" s="782" t="str">
        <f t="shared" si="15"/>
        <v/>
      </c>
      <c r="J56" s="781" t="str">
        <f t="shared" si="16"/>
        <v/>
      </c>
      <c r="K56" s="780" t="str">
        <f t="shared" si="17"/>
        <v/>
      </c>
      <c r="L56" s="729" t="str">
        <f>IF($B56&lt;=$F$4,($D56-$H56)/'3.1 Delinquency Data'!C56,"")</f>
        <v/>
      </c>
      <c r="M56" s="94"/>
    </row>
    <row r="57" spans="1:19">
      <c r="A57" s="225"/>
      <c r="B57" s="375">
        <v>37</v>
      </c>
      <c r="C57" s="727" t="str">
        <f t="shared" si="9"/>
        <v/>
      </c>
      <c r="D57" s="779" t="str">
        <f t="shared" si="10"/>
        <v/>
      </c>
      <c r="E57" s="779" t="str">
        <f t="shared" si="11"/>
        <v/>
      </c>
      <c r="F57" s="779" t="str">
        <f t="shared" si="12"/>
        <v/>
      </c>
      <c r="G57" s="780" t="str">
        <f t="shared" si="13"/>
        <v/>
      </c>
      <c r="H57" s="781" t="str">
        <f t="shared" si="14"/>
        <v/>
      </c>
      <c r="I57" s="782" t="str">
        <f t="shared" si="15"/>
        <v/>
      </c>
      <c r="J57" s="781" t="str">
        <f t="shared" si="16"/>
        <v/>
      </c>
      <c r="K57" s="780" t="str">
        <f t="shared" si="17"/>
        <v/>
      </c>
      <c r="L57" s="729" t="str">
        <f>IF($B57&lt;=$F$4,($D57-$H57)/'3.1 Delinquency Data'!C57,"")</f>
        <v/>
      </c>
      <c r="M57" s="94"/>
      <c r="N57" s="297"/>
      <c r="O57" s="297"/>
      <c r="P57" s="297"/>
      <c r="Q57" s="297"/>
    </row>
    <row r="58" spans="1:19">
      <c r="A58" s="225"/>
      <c r="B58" s="375">
        <v>38</v>
      </c>
      <c r="C58" s="727" t="str">
        <f t="shared" si="9"/>
        <v/>
      </c>
      <c r="D58" s="779" t="str">
        <f t="shared" si="10"/>
        <v/>
      </c>
      <c r="E58" s="779" t="str">
        <f t="shared" si="11"/>
        <v/>
      </c>
      <c r="F58" s="779" t="str">
        <f t="shared" si="12"/>
        <v/>
      </c>
      <c r="G58" s="780" t="str">
        <f t="shared" si="13"/>
        <v/>
      </c>
      <c r="H58" s="781" t="str">
        <f t="shared" si="14"/>
        <v/>
      </c>
      <c r="I58" s="782" t="str">
        <f t="shared" si="15"/>
        <v/>
      </c>
      <c r="J58" s="781" t="str">
        <f t="shared" si="16"/>
        <v/>
      </c>
      <c r="K58" s="780" t="str">
        <f t="shared" si="17"/>
        <v/>
      </c>
      <c r="L58" s="729" t="str">
        <f>IF($B58&lt;=$F$4,($D58-$H58)/'3.1 Delinquency Data'!C58,"")</f>
        <v/>
      </c>
      <c r="M58" s="94"/>
    </row>
    <row r="59" spans="1:19">
      <c r="A59" s="225"/>
      <c r="B59" s="375">
        <v>39</v>
      </c>
      <c r="C59" s="727" t="str">
        <f t="shared" si="9"/>
        <v/>
      </c>
      <c r="D59" s="779" t="str">
        <f t="shared" si="10"/>
        <v/>
      </c>
      <c r="E59" s="779" t="str">
        <f t="shared" si="11"/>
        <v/>
      </c>
      <c r="F59" s="779" t="str">
        <f t="shared" si="12"/>
        <v/>
      </c>
      <c r="G59" s="780" t="str">
        <f t="shared" si="13"/>
        <v/>
      </c>
      <c r="H59" s="781" t="str">
        <f t="shared" si="14"/>
        <v/>
      </c>
      <c r="I59" s="782" t="str">
        <f t="shared" si="15"/>
        <v/>
      </c>
      <c r="J59" s="781" t="str">
        <f t="shared" si="16"/>
        <v/>
      </c>
      <c r="K59" s="780" t="str">
        <f t="shared" si="17"/>
        <v/>
      </c>
      <c r="L59" s="729" t="str">
        <f>IF($B59&lt;=$F$4,($D59-$H59)/'3.1 Delinquency Data'!C59,"")</f>
        <v/>
      </c>
      <c r="M59" s="94"/>
    </row>
    <row r="60" spans="1:19">
      <c r="A60" s="225"/>
      <c r="B60" s="375">
        <v>40</v>
      </c>
      <c r="C60" s="727" t="str">
        <f t="shared" si="9"/>
        <v/>
      </c>
      <c r="D60" s="779" t="str">
        <f t="shared" si="10"/>
        <v/>
      </c>
      <c r="E60" s="779" t="str">
        <f t="shared" si="11"/>
        <v/>
      </c>
      <c r="F60" s="779" t="str">
        <f t="shared" si="12"/>
        <v/>
      </c>
      <c r="G60" s="780" t="str">
        <f t="shared" si="13"/>
        <v/>
      </c>
      <c r="H60" s="781" t="str">
        <f t="shared" si="14"/>
        <v/>
      </c>
      <c r="I60" s="782" t="str">
        <f t="shared" si="15"/>
        <v/>
      </c>
      <c r="J60" s="781" t="str">
        <f t="shared" si="16"/>
        <v/>
      </c>
      <c r="K60" s="780" t="str">
        <f t="shared" si="17"/>
        <v/>
      </c>
      <c r="L60" s="729" t="str">
        <f>IF($B60&lt;=$F$4,($D60-$H60)/'3.1 Delinquency Data'!C60,"")</f>
        <v/>
      </c>
      <c r="M60" s="94"/>
    </row>
    <row r="61" spans="1:19">
      <c r="A61" s="225"/>
      <c r="B61" s="375">
        <v>41</v>
      </c>
      <c r="C61" s="727" t="str">
        <f t="shared" si="9"/>
        <v/>
      </c>
      <c r="D61" s="779" t="str">
        <f t="shared" si="10"/>
        <v/>
      </c>
      <c r="E61" s="779" t="str">
        <f t="shared" si="11"/>
        <v/>
      </c>
      <c r="F61" s="779" t="str">
        <f t="shared" si="12"/>
        <v/>
      </c>
      <c r="G61" s="780" t="str">
        <f t="shared" si="13"/>
        <v/>
      </c>
      <c r="H61" s="781" t="str">
        <f t="shared" si="14"/>
        <v/>
      </c>
      <c r="I61" s="782" t="str">
        <f t="shared" si="15"/>
        <v/>
      </c>
      <c r="J61" s="781" t="str">
        <f t="shared" si="16"/>
        <v/>
      </c>
      <c r="K61" s="780" t="str">
        <f t="shared" si="17"/>
        <v/>
      </c>
      <c r="L61" s="729" t="str">
        <f>IF($B61&lt;=$F$4,($D61-$H61)/'3.1 Delinquency Data'!C61,"")</f>
        <v/>
      </c>
      <c r="M61" s="94"/>
    </row>
    <row r="62" spans="1:19">
      <c r="A62" s="225"/>
      <c r="B62" s="375">
        <v>42</v>
      </c>
      <c r="C62" s="727" t="str">
        <f t="shared" si="9"/>
        <v/>
      </c>
      <c r="D62" s="779" t="str">
        <f t="shared" si="10"/>
        <v/>
      </c>
      <c r="E62" s="779" t="str">
        <f t="shared" si="11"/>
        <v/>
      </c>
      <c r="F62" s="779" t="str">
        <f t="shared" si="12"/>
        <v/>
      </c>
      <c r="G62" s="780" t="str">
        <f t="shared" si="13"/>
        <v/>
      </c>
      <c r="H62" s="781" t="str">
        <f t="shared" si="14"/>
        <v/>
      </c>
      <c r="I62" s="782" t="str">
        <f t="shared" si="15"/>
        <v/>
      </c>
      <c r="J62" s="781" t="str">
        <f t="shared" si="16"/>
        <v/>
      </c>
      <c r="K62" s="780" t="str">
        <f t="shared" si="17"/>
        <v/>
      </c>
      <c r="L62" s="729" t="str">
        <f>IF($B62&lt;=$F$4,($D62-$H62)/'3.1 Delinquency Data'!C62,"")</f>
        <v/>
      </c>
      <c r="M62" s="94"/>
    </row>
    <row r="63" spans="1:19">
      <c r="A63" s="225"/>
      <c r="B63" s="375">
        <v>43</v>
      </c>
      <c r="C63" s="727" t="str">
        <f t="shared" si="9"/>
        <v/>
      </c>
      <c r="D63" s="779" t="str">
        <f t="shared" si="10"/>
        <v/>
      </c>
      <c r="E63" s="779" t="str">
        <f t="shared" si="11"/>
        <v/>
      </c>
      <c r="F63" s="779" t="str">
        <f t="shared" si="12"/>
        <v/>
      </c>
      <c r="G63" s="780" t="str">
        <f t="shared" si="13"/>
        <v/>
      </c>
      <c r="H63" s="781" t="str">
        <f t="shared" si="14"/>
        <v/>
      </c>
      <c r="I63" s="782" t="str">
        <f t="shared" si="15"/>
        <v/>
      </c>
      <c r="J63" s="781" t="str">
        <f t="shared" si="16"/>
        <v/>
      </c>
      <c r="K63" s="780" t="str">
        <f t="shared" si="17"/>
        <v/>
      </c>
      <c r="L63" s="729" t="str">
        <f>IF($B63&lt;=$F$4,($D63-$H63)/'3.1 Delinquency Data'!C63,"")</f>
        <v/>
      </c>
      <c r="M63" s="94"/>
    </row>
    <row r="64" spans="1:19">
      <c r="A64" s="225"/>
      <c r="B64" s="375">
        <v>44</v>
      </c>
      <c r="C64" s="727" t="str">
        <f t="shared" si="9"/>
        <v/>
      </c>
      <c r="D64" s="779" t="str">
        <f t="shared" si="10"/>
        <v/>
      </c>
      <c r="E64" s="779" t="str">
        <f t="shared" si="11"/>
        <v/>
      </c>
      <c r="F64" s="779" t="str">
        <f t="shared" si="12"/>
        <v/>
      </c>
      <c r="G64" s="780" t="str">
        <f t="shared" si="13"/>
        <v/>
      </c>
      <c r="H64" s="781" t="str">
        <f t="shared" si="14"/>
        <v/>
      </c>
      <c r="I64" s="782" t="str">
        <f t="shared" si="15"/>
        <v/>
      </c>
      <c r="J64" s="781" t="str">
        <f t="shared" si="16"/>
        <v/>
      </c>
      <c r="K64" s="780" t="str">
        <f t="shared" si="17"/>
        <v/>
      </c>
      <c r="L64" s="729" t="str">
        <f>IF($B64&lt;=$F$4,($D64-$H64)/'3.1 Delinquency Data'!C64,"")</f>
        <v/>
      </c>
      <c r="M64" s="94"/>
    </row>
    <row r="65" spans="1:13">
      <c r="A65" s="225"/>
      <c r="B65" s="375">
        <v>45</v>
      </c>
      <c r="C65" s="727" t="str">
        <f t="shared" si="9"/>
        <v/>
      </c>
      <c r="D65" s="779" t="str">
        <f t="shared" si="10"/>
        <v/>
      </c>
      <c r="E65" s="779" t="str">
        <f t="shared" si="11"/>
        <v/>
      </c>
      <c r="F65" s="779" t="str">
        <f t="shared" si="12"/>
        <v/>
      </c>
      <c r="G65" s="780" t="str">
        <f t="shared" si="13"/>
        <v/>
      </c>
      <c r="H65" s="781" t="str">
        <f t="shared" si="14"/>
        <v/>
      </c>
      <c r="I65" s="782" t="str">
        <f t="shared" si="15"/>
        <v/>
      </c>
      <c r="J65" s="781" t="str">
        <f t="shared" si="16"/>
        <v/>
      </c>
      <c r="K65" s="780" t="str">
        <f t="shared" si="17"/>
        <v/>
      </c>
      <c r="L65" s="729" t="str">
        <f>IF($B65&lt;=$F$4,($D65-$H65)/'3.1 Delinquency Data'!C65,"")</f>
        <v/>
      </c>
      <c r="M65" s="94"/>
    </row>
    <row r="66" spans="1:13">
      <c r="A66" s="225"/>
      <c r="B66" s="375">
        <v>46</v>
      </c>
      <c r="C66" s="727" t="str">
        <f t="shared" si="9"/>
        <v/>
      </c>
      <c r="D66" s="779" t="str">
        <f t="shared" si="10"/>
        <v/>
      </c>
      <c r="E66" s="779" t="str">
        <f t="shared" si="11"/>
        <v/>
      </c>
      <c r="F66" s="779" t="str">
        <f t="shared" si="12"/>
        <v/>
      </c>
      <c r="G66" s="780" t="str">
        <f t="shared" si="13"/>
        <v/>
      </c>
      <c r="H66" s="781" t="str">
        <f t="shared" si="14"/>
        <v/>
      </c>
      <c r="I66" s="782" t="str">
        <f t="shared" si="15"/>
        <v/>
      </c>
      <c r="J66" s="781" t="str">
        <f t="shared" si="16"/>
        <v/>
      </c>
      <c r="K66" s="780" t="str">
        <f t="shared" si="17"/>
        <v/>
      </c>
      <c r="L66" s="729" t="str">
        <f>IF($B66&lt;=$F$4,($D66-$H66)/'3.1 Delinquency Data'!C66,"")</f>
        <v/>
      </c>
      <c r="M66" s="94"/>
    </row>
    <row r="67" spans="1:13">
      <c r="A67" s="225"/>
      <c r="B67" s="375">
        <v>47</v>
      </c>
      <c r="C67" s="727" t="str">
        <f t="shared" si="9"/>
        <v/>
      </c>
      <c r="D67" s="779" t="str">
        <f t="shared" si="10"/>
        <v/>
      </c>
      <c r="E67" s="779" t="str">
        <f t="shared" si="11"/>
        <v/>
      </c>
      <c r="F67" s="779" t="str">
        <f t="shared" si="12"/>
        <v/>
      </c>
      <c r="G67" s="780" t="str">
        <f t="shared" si="13"/>
        <v/>
      </c>
      <c r="H67" s="781" t="str">
        <f t="shared" si="14"/>
        <v/>
      </c>
      <c r="I67" s="782" t="str">
        <f t="shared" si="15"/>
        <v/>
      </c>
      <c r="J67" s="781" t="str">
        <f t="shared" si="16"/>
        <v/>
      </c>
      <c r="K67" s="780" t="str">
        <f t="shared" si="17"/>
        <v/>
      </c>
      <c r="L67" s="729" t="str">
        <f>IF($B67&lt;=$F$4,($D67-$H67)/'3.1 Delinquency Data'!C67,"")</f>
        <v/>
      </c>
      <c r="M67" s="94"/>
    </row>
    <row r="68" spans="1:13">
      <c r="A68" s="225"/>
      <c r="B68" s="375">
        <v>48</v>
      </c>
      <c r="C68" s="727" t="str">
        <f t="shared" si="9"/>
        <v/>
      </c>
      <c r="D68" s="779" t="str">
        <f t="shared" si="10"/>
        <v/>
      </c>
      <c r="E68" s="779" t="str">
        <f t="shared" si="11"/>
        <v/>
      </c>
      <c r="F68" s="779" t="str">
        <f t="shared" si="12"/>
        <v/>
      </c>
      <c r="G68" s="780" t="str">
        <f t="shared" si="13"/>
        <v/>
      </c>
      <c r="H68" s="781" t="str">
        <f t="shared" si="14"/>
        <v/>
      </c>
      <c r="I68" s="782" t="str">
        <f t="shared" si="15"/>
        <v/>
      </c>
      <c r="J68" s="781" t="str">
        <f t="shared" si="16"/>
        <v/>
      </c>
      <c r="K68" s="780" t="str">
        <f t="shared" si="17"/>
        <v/>
      </c>
      <c r="L68" s="729" t="str">
        <f>IF($B68&lt;=$F$4,($D68-$H68)/'3.1 Delinquency Data'!C68,"")</f>
        <v/>
      </c>
      <c r="M68" s="94"/>
    </row>
    <row r="69" spans="1:13">
      <c r="A69" s="225"/>
      <c r="B69" s="375">
        <v>49</v>
      </c>
      <c r="C69" s="727" t="str">
        <f t="shared" si="9"/>
        <v/>
      </c>
      <c r="D69" s="779" t="str">
        <f t="shared" si="10"/>
        <v/>
      </c>
      <c r="E69" s="779" t="str">
        <f t="shared" si="11"/>
        <v/>
      </c>
      <c r="F69" s="779" t="str">
        <f t="shared" si="12"/>
        <v/>
      </c>
      <c r="G69" s="780" t="str">
        <f t="shared" si="13"/>
        <v/>
      </c>
      <c r="H69" s="781" t="str">
        <f t="shared" si="14"/>
        <v/>
      </c>
      <c r="I69" s="782" t="str">
        <f t="shared" si="15"/>
        <v/>
      </c>
      <c r="J69" s="781" t="str">
        <f t="shared" si="16"/>
        <v/>
      </c>
      <c r="K69" s="780" t="str">
        <f t="shared" si="17"/>
        <v/>
      </c>
      <c r="L69" s="729" t="str">
        <f>IF($B69&lt;=$F$4,($D69-$H69)/'3.1 Delinquency Data'!C69,"")</f>
        <v/>
      </c>
      <c r="M69" s="94"/>
    </row>
    <row r="70" spans="1:13">
      <c r="A70" s="225"/>
      <c r="B70" s="375">
        <v>50</v>
      </c>
      <c r="C70" s="727" t="str">
        <f t="shared" si="9"/>
        <v/>
      </c>
      <c r="D70" s="779" t="str">
        <f t="shared" si="10"/>
        <v/>
      </c>
      <c r="E70" s="779" t="str">
        <f t="shared" si="11"/>
        <v/>
      </c>
      <c r="F70" s="779" t="str">
        <f t="shared" si="12"/>
        <v/>
      </c>
      <c r="G70" s="780" t="str">
        <f t="shared" si="13"/>
        <v/>
      </c>
      <c r="H70" s="781" t="str">
        <f t="shared" si="14"/>
        <v/>
      </c>
      <c r="I70" s="782" t="str">
        <f t="shared" si="15"/>
        <v/>
      </c>
      <c r="J70" s="781" t="str">
        <f t="shared" si="16"/>
        <v/>
      </c>
      <c r="K70" s="780" t="str">
        <f t="shared" si="17"/>
        <v/>
      </c>
      <c r="L70" s="729" t="str">
        <f>IF($B70&lt;=$F$4,($D70-$H70)/'3.1 Delinquency Data'!C70,"")</f>
        <v/>
      </c>
      <c r="M70" s="94"/>
    </row>
    <row r="71" spans="1:13">
      <c r="A71" s="225"/>
      <c r="B71" s="375">
        <v>51</v>
      </c>
      <c r="C71" s="727" t="str">
        <f t="shared" si="9"/>
        <v/>
      </c>
      <c r="D71" s="779" t="str">
        <f t="shared" si="10"/>
        <v/>
      </c>
      <c r="E71" s="779" t="str">
        <f t="shared" si="11"/>
        <v/>
      </c>
      <c r="F71" s="779" t="str">
        <f t="shared" si="12"/>
        <v/>
      </c>
      <c r="G71" s="780" t="str">
        <f t="shared" si="13"/>
        <v/>
      </c>
      <c r="H71" s="781" t="str">
        <f t="shared" si="14"/>
        <v/>
      </c>
      <c r="I71" s="782" t="str">
        <f t="shared" si="15"/>
        <v/>
      </c>
      <c r="J71" s="781" t="str">
        <f t="shared" si="16"/>
        <v/>
      </c>
      <c r="K71" s="780" t="str">
        <f t="shared" si="17"/>
        <v/>
      </c>
      <c r="L71" s="729" t="str">
        <f>IF($B71&lt;=$F$4,($D71-$H71)/'3.1 Delinquency Data'!C71,"")</f>
        <v/>
      </c>
      <c r="M71" s="94"/>
    </row>
    <row r="72" spans="1:13">
      <c r="A72" s="225"/>
      <c r="B72" s="375">
        <v>52</v>
      </c>
      <c r="C72" s="727" t="str">
        <f t="shared" si="9"/>
        <v/>
      </c>
      <c r="D72" s="779" t="str">
        <f t="shared" si="10"/>
        <v/>
      </c>
      <c r="E72" s="779" t="str">
        <f t="shared" si="11"/>
        <v/>
      </c>
      <c r="F72" s="779" t="str">
        <f t="shared" si="12"/>
        <v/>
      </c>
      <c r="G72" s="780" t="str">
        <f t="shared" si="13"/>
        <v/>
      </c>
      <c r="H72" s="781" t="str">
        <f t="shared" si="14"/>
        <v/>
      </c>
      <c r="I72" s="782" t="str">
        <f t="shared" si="15"/>
        <v/>
      </c>
      <c r="J72" s="781" t="str">
        <f t="shared" si="16"/>
        <v/>
      </c>
      <c r="K72" s="780" t="str">
        <f t="shared" si="17"/>
        <v/>
      </c>
      <c r="L72" s="729" t="str">
        <f>IF($B72&lt;=$F$4,($D72-$H72)/'3.1 Delinquency Data'!C72,"")</f>
        <v/>
      </c>
      <c r="M72" s="94"/>
    </row>
    <row r="73" spans="1:13">
      <c r="A73" s="225"/>
      <c r="B73" s="375">
        <v>53</v>
      </c>
      <c r="C73" s="727" t="str">
        <f t="shared" si="9"/>
        <v/>
      </c>
      <c r="D73" s="779" t="str">
        <f t="shared" si="10"/>
        <v/>
      </c>
      <c r="E73" s="779" t="str">
        <f t="shared" si="11"/>
        <v/>
      </c>
      <c r="F73" s="779" t="str">
        <f t="shared" si="12"/>
        <v/>
      </c>
      <c r="G73" s="780" t="str">
        <f t="shared" si="13"/>
        <v/>
      </c>
      <c r="H73" s="781" t="str">
        <f t="shared" si="14"/>
        <v/>
      </c>
      <c r="I73" s="782" t="str">
        <f t="shared" si="15"/>
        <v/>
      </c>
      <c r="J73" s="781" t="str">
        <f t="shared" si="16"/>
        <v/>
      </c>
      <c r="K73" s="780" t="str">
        <f t="shared" si="17"/>
        <v/>
      </c>
      <c r="L73" s="729" t="str">
        <f>IF($B73&lt;=$F$4,($D73-$H73)/'3.1 Delinquency Data'!C73,"")</f>
        <v/>
      </c>
      <c r="M73" s="94"/>
    </row>
    <row r="74" spans="1:13">
      <c r="A74" s="225"/>
      <c r="B74" s="375">
        <v>54</v>
      </c>
      <c r="C74" s="727" t="str">
        <f t="shared" si="9"/>
        <v/>
      </c>
      <c r="D74" s="779" t="str">
        <f t="shared" si="10"/>
        <v/>
      </c>
      <c r="E74" s="779" t="str">
        <f t="shared" si="11"/>
        <v/>
      </c>
      <c r="F74" s="779" t="str">
        <f t="shared" si="12"/>
        <v/>
      </c>
      <c r="G74" s="780" t="str">
        <f t="shared" si="13"/>
        <v/>
      </c>
      <c r="H74" s="781" t="str">
        <f t="shared" si="14"/>
        <v/>
      </c>
      <c r="I74" s="782" t="str">
        <f t="shared" si="15"/>
        <v/>
      </c>
      <c r="J74" s="781" t="str">
        <f t="shared" si="16"/>
        <v/>
      </c>
      <c r="K74" s="780" t="str">
        <f t="shared" si="17"/>
        <v/>
      </c>
      <c r="L74" s="729" t="str">
        <f>IF($B74&lt;=$F$4,($D74-$H74)/'3.1 Delinquency Data'!C74,"")</f>
        <v/>
      </c>
      <c r="M74" s="94"/>
    </row>
    <row r="75" spans="1:13">
      <c r="A75" s="225"/>
      <c r="B75" s="375">
        <v>55</v>
      </c>
      <c r="C75" s="727" t="str">
        <f t="shared" si="9"/>
        <v/>
      </c>
      <c r="D75" s="779" t="str">
        <f t="shared" si="10"/>
        <v/>
      </c>
      <c r="E75" s="779" t="str">
        <f t="shared" si="11"/>
        <v/>
      </c>
      <c r="F75" s="779" t="str">
        <f t="shared" si="12"/>
        <v/>
      </c>
      <c r="G75" s="780" t="str">
        <f t="shared" si="13"/>
        <v/>
      </c>
      <c r="H75" s="781" t="str">
        <f t="shared" si="14"/>
        <v/>
      </c>
      <c r="I75" s="782" t="str">
        <f t="shared" si="15"/>
        <v/>
      </c>
      <c r="J75" s="781" t="str">
        <f t="shared" si="16"/>
        <v/>
      </c>
      <c r="K75" s="780" t="str">
        <f t="shared" si="17"/>
        <v/>
      </c>
      <c r="L75" s="729" t="str">
        <f>IF($B75&lt;=$F$4,($D75-$H75)/'3.1 Delinquency Data'!C75,"")</f>
        <v/>
      </c>
      <c r="M75" s="94"/>
    </row>
    <row r="76" spans="1:13">
      <c r="A76" s="225"/>
      <c r="B76" s="375">
        <v>56</v>
      </c>
      <c r="C76" s="727" t="str">
        <f t="shared" si="9"/>
        <v/>
      </c>
      <c r="D76" s="779" t="str">
        <f t="shared" si="10"/>
        <v/>
      </c>
      <c r="E76" s="779" t="str">
        <f t="shared" si="11"/>
        <v/>
      </c>
      <c r="F76" s="779" t="str">
        <f t="shared" si="12"/>
        <v/>
      </c>
      <c r="G76" s="780" t="str">
        <f t="shared" si="13"/>
        <v/>
      </c>
      <c r="H76" s="781" t="str">
        <f t="shared" si="14"/>
        <v/>
      </c>
      <c r="I76" s="782" t="str">
        <f t="shared" si="15"/>
        <v/>
      </c>
      <c r="J76" s="781" t="str">
        <f t="shared" si="16"/>
        <v/>
      </c>
      <c r="K76" s="780" t="str">
        <f t="shared" si="17"/>
        <v/>
      </c>
      <c r="L76" s="729" t="str">
        <f>IF($B76&lt;=$F$4,($D76-$H76)/'3.1 Delinquency Data'!C76,"")</f>
        <v/>
      </c>
      <c r="M76" s="94"/>
    </row>
    <row r="77" spans="1:13">
      <c r="A77" s="225"/>
      <c r="B77" s="375">
        <v>57</v>
      </c>
      <c r="C77" s="727" t="str">
        <f t="shared" si="9"/>
        <v/>
      </c>
      <c r="D77" s="779" t="str">
        <f t="shared" si="10"/>
        <v/>
      </c>
      <c r="E77" s="779" t="str">
        <f t="shared" si="11"/>
        <v/>
      </c>
      <c r="F77" s="779" t="str">
        <f t="shared" si="12"/>
        <v/>
      </c>
      <c r="G77" s="780" t="str">
        <f t="shared" si="13"/>
        <v/>
      </c>
      <c r="H77" s="781" t="str">
        <f t="shared" si="14"/>
        <v/>
      </c>
      <c r="I77" s="782" t="str">
        <f t="shared" si="15"/>
        <v/>
      </c>
      <c r="J77" s="781" t="str">
        <f t="shared" si="16"/>
        <v/>
      </c>
      <c r="K77" s="780" t="str">
        <f t="shared" si="17"/>
        <v/>
      </c>
      <c r="L77" s="729" t="str">
        <f>IF($B77&lt;=$F$4,($D77-$H77)/'3.1 Delinquency Data'!C77,"")</f>
        <v/>
      </c>
      <c r="M77" s="94"/>
    </row>
    <row r="78" spans="1:13">
      <c r="A78" s="225"/>
      <c r="B78" s="375">
        <v>58</v>
      </c>
      <c r="C78" s="727" t="str">
        <f t="shared" si="9"/>
        <v/>
      </c>
      <c r="D78" s="779" t="str">
        <f t="shared" si="10"/>
        <v/>
      </c>
      <c r="E78" s="779" t="str">
        <f t="shared" si="11"/>
        <v/>
      </c>
      <c r="F78" s="779" t="str">
        <f t="shared" si="12"/>
        <v/>
      </c>
      <c r="G78" s="780" t="str">
        <f t="shared" si="13"/>
        <v/>
      </c>
      <c r="H78" s="781" t="str">
        <f t="shared" si="14"/>
        <v/>
      </c>
      <c r="I78" s="782" t="str">
        <f t="shared" si="15"/>
        <v/>
      </c>
      <c r="J78" s="781" t="str">
        <f t="shared" si="16"/>
        <v/>
      </c>
      <c r="K78" s="780" t="str">
        <f t="shared" si="17"/>
        <v/>
      </c>
      <c r="L78" s="729" t="str">
        <f>IF($B78&lt;=$F$4,($D78-$H78)/'3.1 Delinquency Data'!C78,"")</f>
        <v/>
      </c>
      <c r="M78" s="94"/>
    </row>
    <row r="79" spans="1:13">
      <c r="A79" s="225"/>
      <c r="B79" s="375">
        <v>59</v>
      </c>
      <c r="C79" s="727" t="str">
        <f t="shared" si="9"/>
        <v/>
      </c>
      <c r="D79" s="779" t="str">
        <f t="shared" si="10"/>
        <v/>
      </c>
      <c r="E79" s="779" t="str">
        <f t="shared" si="11"/>
        <v/>
      </c>
      <c r="F79" s="779" t="str">
        <f t="shared" si="12"/>
        <v/>
      </c>
      <c r="G79" s="780" t="str">
        <f t="shared" si="13"/>
        <v/>
      </c>
      <c r="H79" s="781" t="str">
        <f t="shared" si="14"/>
        <v/>
      </c>
      <c r="I79" s="782" t="str">
        <f t="shared" si="15"/>
        <v/>
      </c>
      <c r="J79" s="781" t="str">
        <f t="shared" si="16"/>
        <v/>
      </c>
      <c r="K79" s="780" t="str">
        <f t="shared" si="17"/>
        <v/>
      </c>
      <c r="L79" s="729" t="str">
        <f>IF($B79&lt;=$F$4,($D79-$H79)/'3.1 Delinquency Data'!C79,"")</f>
        <v/>
      </c>
      <c r="M79" s="94"/>
    </row>
    <row r="80" spans="1:13">
      <c r="A80" s="225"/>
      <c r="B80" s="375">
        <v>60</v>
      </c>
      <c r="C80" s="727" t="str">
        <f t="shared" si="9"/>
        <v/>
      </c>
      <c r="D80" s="779" t="str">
        <f t="shared" si="10"/>
        <v/>
      </c>
      <c r="E80" s="779" t="str">
        <f t="shared" si="11"/>
        <v/>
      </c>
      <c r="F80" s="779" t="str">
        <f t="shared" si="12"/>
        <v/>
      </c>
      <c r="G80" s="780" t="str">
        <f t="shared" si="13"/>
        <v/>
      </c>
      <c r="H80" s="781" t="str">
        <f t="shared" si="14"/>
        <v/>
      </c>
      <c r="I80" s="782" t="str">
        <f t="shared" si="15"/>
        <v/>
      </c>
      <c r="J80" s="781" t="str">
        <f t="shared" si="16"/>
        <v/>
      </c>
      <c r="K80" s="780" t="str">
        <f t="shared" si="17"/>
        <v/>
      </c>
      <c r="L80" s="729" t="str">
        <f>IF($B80&lt;=$F$4,($D80-$H80)/'3.1 Delinquency Data'!C80,"")</f>
        <v/>
      </c>
      <c r="M80" s="94"/>
    </row>
    <row r="81" spans="1:13">
      <c r="A81" s="225"/>
      <c r="B81" s="375">
        <v>61</v>
      </c>
      <c r="C81" s="727" t="str">
        <f t="shared" si="9"/>
        <v/>
      </c>
      <c r="D81" s="779" t="str">
        <f t="shared" si="10"/>
        <v/>
      </c>
      <c r="E81" s="779" t="str">
        <f t="shared" si="11"/>
        <v/>
      </c>
      <c r="F81" s="779" t="str">
        <f t="shared" si="12"/>
        <v/>
      </c>
      <c r="G81" s="780" t="str">
        <f t="shared" si="13"/>
        <v/>
      </c>
      <c r="H81" s="781" t="str">
        <f t="shared" si="14"/>
        <v/>
      </c>
      <c r="I81" s="782" t="str">
        <f t="shared" si="15"/>
        <v/>
      </c>
      <c r="J81" s="781" t="str">
        <f t="shared" si="16"/>
        <v/>
      </c>
      <c r="K81" s="780" t="str">
        <f t="shared" si="17"/>
        <v/>
      </c>
      <c r="L81" s="729" t="str">
        <f>IF($B81&lt;=$F$4,($D81-$H81)/'3.1 Delinquency Data'!C81,"")</f>
        <v/>
      </c>
      <c r="M81" s="94"/>
    </row>
    <row r="82" spans="1:13">
      <c r="A82" s="225"/>
      <c r="B82" s="375">
        <v>62</v>
      </c>
      <c r="C82" s="727" t="str">
        <f t="shared" si="9"/>
        <v/>
      </c>
      <c r="D82" s="779" t="str">
        <f t="shared" si="10"/>
        <v/>
      </c>
      <c r="E82" s="779" t="str">
        <f t="shared" si="11"/>
        <v/>
      </c>
      <c r="F82" s="779" t="str">
        <f t="shared" si="12"/>
        <v/>
      </c>
      <c r="G82" s="780" t="str">
        <f t="shared" si="13"/>
        <v/>
      </c>
      <c r="H82" s="781" t="str">
        <f t="shared" si="14"/>
        <v/>
      </c>
      <c r="I82" s="782" t="str">
        <f t="shared" si="15"/>
        <v/>
      </c>
      <c r="J82" s="781" t="str">
        <f t="shared" si="16"/>
        <v/>
      </c>
      <c r="K82" s="780" t="str">
        <f t="shared" si="17"/>
        <v/>
      </c>
      <c r="L82" s="729" t="str">
        <f>IF($B82&lt;=$F$4,($D82-$H82)/'3.1 Delinquency Data'!C82,"")</f>
        <v/>
      </c>
      <c r="M82" s="94"/>
    </row>
    <row r="83" spans="1:13">
      <c r="A83" s="225"/>
      <c r="B83" s="375">
        <v>63</v>
      </c>
      <c r="C83" s="727" t="str">
        <f t="shared" si="9"/>
        <v/>
      </c>
      <c r="D83" s="779" t="str">
        <f t="shared" si="10"/>
        <v/>
      </c>
      <c r="E83" s="779" t="str">
        <f t="shared" si="11"/>
        <v/>
      </c>
      <c r="F83" s="779" t="str">
        <f t="shared" si="12"/>
        <v/>
      </c>
      <c r="G83" s="780" t="str">
        <f t="shared" si="13"/>
        <v/>
      </c>
      <c r="H83" s="781" t="str">
        <f t="shared" si="14"/>
        <v/>
      </c>
      <c r="I83" s="782" t="str">
        <f t="shared" si="15"/>
        <v/>
      </c>
      <c r="J83" s="781" t="str">
        <f t="shared" si="16"/>
        <v/>
      </c>
      <c r="K83" s="780" t="str">
        <f t="shared" si="17"/>
        <v/>
      </c>
      <c r="L83" s="729" t="str">
        <f>IF($B83&lt;=$F$4,($D83-$H83)/'3.1 Delinquency Data'!C83,"")</f>
        <v/>
      </c>
      <c r="M83" s="94"/>
    </row>
    <row r="84" spans="1:13">
      <c r="A84" s="225"/>
      <c r="B84" s="375">
        <v>64</v>
      </c>
      <c r="C84" s="727" t="str">
        <f t="shared" si="9"/>
        <v/>
      </c>
      <c r="D84" s="779" t="str">
        <f t="shared" si="10"/>
        <v/>
      </c>
      <c r="E84" s="779" t="str">
        <f t="shared" si="11"/>
        <v/>
      </c>
      <c r="F84" s="779" t="str">
        <f t="shared" si="12"/>
        <v/>
      </c>
      <c r="G84" s="780" t="str">
        <f t="shared" si="13"/>
        <v/>
      </c>
      <c r="H84" s="781" t="str">
        <f t="shared" si="14"/>
        <v/>
      </c>
      <c r="I84" s="782" t="str">
        <f t="shared" si="15"/>
        <v/>
      </c>
      <c r="J84" s="781" t="str">
        <f t="shared" si="16"/>
        <v/>
      </c>
      <c r="K84" s="780" t="str">
        <f t="shared" si="17"/>
        <v/>
      </c>
      <c r="L84" s="729" t="str">
        <f>IF($B84&lt;=$F$4,($D84-$H84)/'3.1 Delinquency Data'!C84,"")</f>
        <v/>
      </c>
      <c r="M84" s="94"/>
    </row>
    <row r="85" spans="1:13">
      <c r="A85" s="225"/>
      <c r="B85" s="375">
        <v>65</v>
      </c>
      <c r="C85" s="727" t="str">
        <f t="shared" ref="C85:C100" si="18">IF($F$4&gt;=$B85,VLOOKUP(CONCATENATE("defaults_",$B85),defaults,2,0),"")</f>
        <v/>
      </c>
      <c r="D85" s="779" t="str">
        <f t="shared" ref="D85:D100" si="19">IF($F$4&gt;=$B85,VLOOKUP(CONCATENATE("defaults_",$B85),defaults,3,0),"")</f>
        <v/>
      </c>
      <c r="E85" s="779" t="str">
        <f t="shared" ref="E85:E100" si="20">IF($F$4&gt;=$B85,VLOOKUP(CONCATENATE("defaults_",$B85),defaults,4,0),"")</f>
        <v/>
      </c>
      <c r="F85" s="779" t="str">
        <f t="shared" ref="F85:F100" si="21">IF($F$4&gt;=$B85,VLOOKUP(CONCATENATE("defaults_",$B85),defaults,5,0),"")</f>
        <v/>
      </c>
      <c r="G85" s="780" t="str">
        <f t="shared" ref="G85:G100" si="22">IF($F$4&gt;=$B85,VLOOKUP(CONCATENATE("defaults_",$B85),defaults,6,0),"")</f>
        <v/>
      </c>
      <c r="H85" s="781" t="str">
        <f t="shared" ref="H85:H100" si="23">IF($F$4&gt;=$B85,VLOOKUP(CONCATENATE("defaults_",$B85),defaults,7,0),"")</f>
        <v/>
      </c>
      <c r="I85" s="782" t="str">
        <f t="shared" ref="I85:I100" si="24">IF($F$4&gt;=$B85,VLOOKUP(CONCATENATE("defaults_",$B85),defaults,8,0),"")</f>
        <v/>
      </c>
      <c r="J85" s="781" t="str">
        <f t="shared" ref="J85:J100" si="25">IF($F$4&gt;=$B85,VLOOKUP(CONCATENATE("defaults_",$B85),defaults,9,0),"")</f>
        <v/>
      </c>
      <c r="K85" s="780" t="str">
        <f t="shared" ref="K85:K100" si="26">IF($F$4&gt;=$B85,VLOOKUP(CONCATENATE("defaults_",$B85),defaults,10,0),"")</f>
        <v/>
      </c>
      <c r="L85" s="729" t="str">
        <f>IF($B85&lt;=$F$4,($D85-$H85)/'3.1 Delinquency Data'!C85,"")</f>
        <v/>
      </c>
      <c r="M85" s="94"/>
    </row>
    <row r="86" spans="1:13">
      <c r="A86" s="225"/>
      <c r="B86" s="375">
        <v>66</v>
      </c>
      <c r="C86" s="727" t="str">
        <f t="shared" si="18"/>
        <v/>
      </c>
      <c r="D86" s="779" t="str">
        <f t="shared" si="19"/>
        <v/>
      </c>
      <c r="E86" s="779" t="str">
        <f t="shared" si="20"/>
        <v/>
      </c>
      <c r="F86" s="779" t="str">
        <f t="shared" si="21"/>
        <v/>
      </c>
      <c r="G86" s="780" t="str">
        <f t="shared" si="22"/>
        <v/>
      </c>
      <c r="H86" s="781" t="str">
        <f t="shared" si="23"/>
        <v/>
      </c>
      <c r="I86" s="782" t="str">
        <f t="shared" si="24"/>
        <v/>
      </c>
      <c r="J86" s="781" t="str">
        <f t="shared" si="25"/>
        <v/>
      </c>
      <c r="K86" s="780" t="str">
        <f t="shared" si="26"/>
        <v/>
      </c>
      <c r="L86" s="729" t="str">
        <f>IF($B86&lt;=$F$4,($D86-$H86)/'3.1 Delinquency Data'!C86,"")</f>
        <v/>
      </c>
      <c r="M86" s="94"/>
    </row>
    <row r="87" spans="1:13">
      <c r="A87" s="225"/>
      <c r="B87" s="375">
        <v>67</v>
      </c>
      <c r="C87" s="727" t="str">
        <f t="shared" si="18"/>
        <v/>
      </c>
      <c r="D87" s="779" t="str">
        <f t="shared" si="19"/>
        <v/>
      </c>
      <c r="E87" s="779" t="str">
        <f t="shared" si="20"/>
        <v/>
      </c>
      <c r="F87" s="779" t="str">
        <f t="shared" si="21"/>
        <v/>
      </c>
      <c r="G87" s="780" t="str">
        <f t="shared" si="22"/>
        <v/>
      </c>
      <c r="H87" s="781" t="str">
        <f t="shared" si="23"/>
        <v/>
      </c>
      <c r="I87" s="782" t="str">
        <f t="shared" si="24"/>
        <v/>
      </c>
      <c r="J87" s="781" t="str">
        <f t="shared" si="25"/>
        <v/>
      </c>
      <c r="K87" s="780" t="str">
        <f t="shared" si="26"/>
        <v/>
      </c>
      <c r="L87" s="729" t="str">
        <f>IF($B87&lt;=$F$4,($D87-$H87)/'3.1 Delinquency Data'!C87,"")</f>
        <v/>
      </c>
      <c r="M87" s="94"/>
    </row>
    <row r="88" spans="1:13">
      <c r="A88" s="225"/>
      <c r="B88" s="375">
        <v>68</v>
      </c>
      <c r="C88" s="727" t="str">
        <f t="shared" si="18"/>
        <v/>
      </c>
      <c r="D88" s="779" t="str">
        <f t="shared" si="19"/>
        <v/>
      </c>
      <c r="E88" s="779" t="str">
        <f t="shared" si="20"/>
        <v/>
      </c>
      <c r="F88" s="779" t="str">
        <f t="shared" si="21"/>
        <v/>
      </c>
      <c r="G88" s="780" t="str">
        <f t="shared" si="22"/>
        <v/>
      </c>
      <c r="H88" s="781" t="str">
        <f t="shared" si="23"/>
        <v/>
      </c>
      <c r="I88" s="782" t="str">
        <f t="shared" si="24"/>
        <v/>
      </c>
      <c r="J88" s="781" t="str">
        <f t="shared" si="25"/>
        <v/>
      </c>
      <c r="K88" s="780" t="str">
        <f t="shared" si="26"/>
        <v/>
      </c>
      <c r="L88" s="729" t="str">
        <f>IF($B88&lt;=$F$4,($D88-$H88)/'3.1 Delinquency Data'!C88,"")</f>
        <v/>
      </c>
      <c r="M88" s="94"/>
    </row>
    <row r="89" spans="1:13">
      <c r="A89" s="225"/>
      <c r="B89" s="375">
        <v>69</v>
      </c>
      <c r="C89" s="727" t="str">
        <f t="shared" si="18"/>
        <v/>
      </c>
      <c r="D89" s="779" t="str">
        <f t="shared" si="19"/>
        <v/>
      </c>
      <c r="E89" s="779" t="str">
        <f t="shared" si="20"/>
        <v/>
      </c>
      <c r="F89" s="779" t="str">
        <f t="shared" si="21"/>
        <v/>
      </c>
      <c r="G89" s="780" t="str">
        <f t="shared" si="22"/>
        <v/>
      </c>
      <c r="H89" s="781" t="str">
        <f t="shared" si="23"/>
        <v/>
      </c>
      <c r="I89" s="782" t="str">
        <f t="shared" si="24"/>
        <v/>
      </c>
      <c r="J89" s="781" t="str">
        <f t="shared" si="25"/>
        <v/>
      </c>
      <c r="K89" s="780" t="str">
        <f t="shared" si="26"/>
        <v/>
      </c>
      <c r="L89" s="729" t="str">
        <f>IF($B89&lt;=$F$4,($D89-$H89)/'3.1 Delinquency Data'!C89,"")</f>
        <v/>
      </c>
      <c r="M89" s="94"/>
    </row>
    <row r="90" spans="1:13">
      <c r="A90" s="225"/>
      <c r="B90" s="375">
        <v>70</v>
      </c>
      <c r="C90" s="727" t="str">
        <f t="shared" si="18"/>
        <v/>
      </c>
      <c r="D90" s="779" t="str">
        <f t="shared" si="19"/>
        <v/>
      </c>
      <c r="E90" s="779" t="str">
        <f t="shared" si="20"/>
        <v/>
      </c>
      <c r="F90" s="779" t="str">
        <f t="shared" si="21"/>
        <v/>
      </c>
      <c r="G90" s="780" t="str">
        <f t="shared" si="22"/>
        <v/>
      </c>
      <c r="H90" s="781" t="str">
        <f t="shared" si="23"/>
        <v/>
      </c>
      <c r="I90" s="782" t="str">
        <f t="shared" si="24"/>
        <v/>
      </c>
      <c r="J90" s="781" t="str">
        <f t="shared" si="25"/>
        <v/>
      </c>
      <c r="K90" s="780" t="str">
        <f t="shared" si="26"/>
        <v/>
      </c>
      <c r="L90" s="729" t="str">
        <f>IF($B90&lt;=$F$4,($D90-$H90)/'3.1 Delinquency Data'!C90,"")</f>
        <v/>
      </c>
      <c r="M90" s="94"/>
    </row>
    <row r="91" spans="1:13">
      <c r="A91" s="225"/>
      <c r="B91" s="375">
        <v>71</v>
      </c>
      <c r="C91" s="727" t="str">
        <f t="shared" si="18"/>
        <v/>
      </c>
      <c r="D91" s="779" t="str">
        <f t="shared" si="19"/>
        <v/>
      </c>
      <c r="E91" s="779" t="str">
        <f t="shared" si="20"/>
        <v/>
      </c>
      <c r="F91" s="779" t="str">
        <f t="shared" si="21"/>
        <v/>
      </c>
      <c r="G91" s="780" t="str">
        <f t="shared" si="22"/>
        <v/>
      </c>
      <c r="H91" s="781" t="str">
        <f t="shared" si="23"/>
        <v/>
      </c>
      <c r="I91" s="782" t="str">
        <f t="shared" si="24"/>
        <v/>
      </c>
      <c r="J91" s="781" t="str">
        <f t="shared" si="25"/>
        <v/>
      </c>
      <c r="K91" s="780" t="str">
        <f t="shared" si="26"/>
        <v/>
      </c>
      <c r="L91" s="729" t="str">
        <f>IF($B91&lt;=$F$4,($D91-$H91)/'3.1 Delinquency Data'!C91,"")</f>
        <v/>
      </c>
      <c r="M91" s="94"/>
    </row>
    <row r="92" spans="1:13">
      <c r="A92" s="225"/>
      <c r="B92" s="375">
        <v>72</v>
      </c>
      <c r="C92" s="727" t="str">
        <f t="shared" si="18"/>
        <v/>
      </c>
      <c r="D92" s="779" t="str">
        <f t="shared" si="19"/>
        <v/>
      </c>
      <c r="E92" s="779" t="str">
        <f t="shared" si="20"/>
        <v/>
      </c>
      <c r="F92" s="779" t="str">
        <f t="shared" si="21"/>
        <v/>
      </c>
      <c r="G92" s="780" t="str">
        <f t="shared" si="22"/>
        <v/>
      </c>
      <c r="H92" s="781" t="str">
        <f t="shared" si="23"/>
        <v/>
      </c>
      <c r="I92" s="782" t="str">
        <f t="shared" si="24"/>
        <v/>
      </c>
      <c r="J92" s="781" t="str">
        <f t="shared" si="25"/>
        <v/>
      </c>
      <c r="K92" s="780" t="str">
        <f t="shared" si="26"/>
        <v/>
      </c>
      <c r="L92" s="729" t="str">
        <f>IF($B92&lt;=$F$4,($D92-$H92)/'3.1 Delinquency Data'!C92,"")</f>
        <v/>
      </c>
      <c r="M92" s="94"/>
    </row>
    <row r="93" spans="1:13">
      <c r="A93" s="225"/>
      <c r="B93" s="375">
        <v>73</v>
      </c>
      <c r="C93" s="727" t="str">
        <f t="shared" si="18"/>
        <v/>
      </c>
      <c r="D93" s="779" t="str">
        <f t="shared" si="19"/>
        <v/>
      </c>
      <c r="E93" s="779" t="str">
        <f t="shared" si="20"/>
        <v/>
      </c>
      <c r="F93" s="779" t="str">
        <f t="shared" si="21"/>
        <v/>
      </c>
      <c r="G93" s="780" t="str">
        <f t="shared" si="22"/>
        <v/>
      </c>
      <c r="H93" s="781" t="str">
        <f t="shared" si="23"/>
        <v/>
      </c>
      <c r="I93" s="782" t="str">
        <f t="shared" si="24"/>
        <v/>
      </c>
      <c r="J93" s="781" t="str">
        <f t="shared" si="25"/>
        <v/>
      </c>
      <c r="K93" s="780" t="str">
        <f t="shared" si="26"/>
        <v/>
      </c>
      <c r="L93" s="729" t="str">
        <f>IF($B93&lt;=$F$4,($D93-$H93)/'3.1 Delinquency Data'!C93,"")</f>
        <v/>
      </c>
      <c r="M93" s="94"/>
    </row>
    <row r="94" spans="1:13">
      <c r="A94" s="225"/>
      <c r="B94" s="375">
        <v>74</v>
      </c>
      <c r="C94" s="727" t="str">
        <f t="shared" si="18"/>
        <v/>
      </c>
      <c r="D94" s="779" t="str">
        <f t="shared" si="19"/>
        <v/>
      </c>
      <c r="E94" s="779" t="str">
        <f t="shared" si="20"/>
        <v/>
      </c>
      <c r="F94" s="779" t="str">
        <f t="shared" si="21"/>
        <v/>
      </c>
      <c r="G94" s="780" t="str">
        <f t="shared" si="22"/>
        <v/>
      </c>
      <c r="H94" s="781" t="str">
        <f t="shared" si="23"/>
        <v/>
      </c>
      <c r="I94" s="782" t="str">
        <f t="shared" si="24"/>
        <v/>
      </c>
      <c r="J94" s="781" t="str">
        <f t="shared" si="25"/>
        <v/>
      </c>
      <c r="K94" s="780" t="str">
        <f t="shared" si="26"/>
        <v/>
      </c>
      <c r="L94" s="729" t="str">
        <f>IF($B94&lt;=$F$4,($D94-$H94)/'3.1 Delinquency Data'!C94,"")</f>
        <v/>
      </c>
      <c r="M94" s="94"/>
    </row>
    <row r="95" spans="1:13">
      <c r="A95" s="225"/>
      <c r="B95" s="375">
        <v>75</v>
      </c>
      <c r="C95" s="727" t="str">
        <f t="shared" si="18"/>
        <v/>
      </c>
      <c r="D95" s="779" t="str">
        <f t="shared" si="19"/>
        <v/>
      </c>
      <c r="E95" s="779" t="str">
        <f t="shared" si="20"/>
        <v/>
      </c>
      <c r="F95" s="779" t="str">
        <f t="shared" si="21"/>
        <v/>
      </c>
      <c r="G95" s="780" t="str">
        <f t="shared" si="22"/>
        <v/>
      </c>
      <c r="H95" s="781" t="str">
        <f t="shared" si="23"/>
        <v/>
      </c>
      <c r="I95" s="782" t="str">
        <f t="shared" si="24"/>
        <v/>
      </c>
      <c r="J95" s="781" t="str">
        <f t="shared" si="25"/>
        <v/>
      </c>
      <c r="K95" s="780" t="str">
        <f t="shared" si="26"/>
        <v/>
      </c>
      <c r="L95" s="729" t="str">
        <f>IF($B95&lt;=$F$4,($D95-$H95)/'3.1 Delinquency Data'!C95,"")</f>
        <v/>
      </c>
      <c r="M95" s="94"/>
    </row>
    <row r="96" spans="1:13">
      <c r="A96" s="225"/>
      <c r="B96" s="375">
        <v>76</v>
      </c>
      <c r="C96" s="727" t="str">
        <f t="shared" si="18"/>
        <v/>
      </c>
      <c r="D96" s="779" t="str">
        <f t="shared" si="19"/>
        <v/>
      </c>
      <c r="E96" s="779" t="str">
        <f t="shared" si="20"/>
        <v/>
      </c>
      <c r="F96" s="779" t="str">
        <f t="shared" si="21"/>
        <v/>
      </c>
      <c r="G96" s="780" t="str">
        <f t="shared" si="22"/>
        <v/>
      </c>
      <c r="H96" s="781" t="str">
        <f t="shared" si="23"/>
        <v/>
      </c>
      <c r="I96" s="782" t="str">
        <f t="shared" si="24"/>
        <v/>
      </c>
      <c r="J96" s="781" t="str">
        <f t="shared" si="25"/>
        <v/>
      </c>
      <c r="K96" s="780" t="str">
        <f t="shared" si="26"/>
        <v/>
      </c>
      <c r="L96" s="729" t="str">
        <f>IF($B96&lt;=$F$4,($D96-$H96)/'3.1 Delinquency Data'!C96,"")</f>
        <v/>
      </c>
      <c r="M96" s="94"/>
    </row>
    <row r="97" spans="1:13">
      <c r="A97" s="225"/>
      <c r="B97" s="375">
        <v>77</v>
      </c>
      <c r="C97" s="727" t="str">
        <f t="shared" si="18"/>
        <v/>
      </c>
      <c r="D97" s="779" t="str">
        <f t="shared" si="19"/>
        <v/>
      </c>
      <c r="E97" s="779" t="str">
        <f t="shared" si="20"/>
        <v/>
      </c>
      <c r="F97" s="779" t="str">
        <f t="shared" si="21"/>
        <v/>
      </c>
      <c r="G97" s="780" t="str">
        <f t="shared" si="22"/>
        <v/>
      </c>
      <c r="H97" s="781" t="str">
        <f t="shared" si="23"/>
        <v/>
      </c>
      <c r="I97" s="782" t="str">
        <f t="shared" si="24"/>
        <v/>
      </c>
      <c r="J97" s="781" t="str">
        <f t="shared" si="25"/>
        <v/>
      </c>
      <c r="K97" s="780" t="str">
        <f t="shared" si="26"/>
        <v/>
      </c>
      <c r="L97" s="729" t="str">
        <f>IF($B97&lt;=$F$4,($D97-$H97)/'3.1 Delinquency Data'!C97,"")</f>
        <v/>
      </c>
      <c r="M97" s="94"/>
    </row>
    <row r="98" spans="1:13">
      <c r="A98" s="225"/>
      <c r="B98" s="375">
        <v>78</v>
      </c>
      <c r="C98" s="727" t="str">
        <f t="shared" si="18"/>
        <v/>
      </c>
      <c r="D98" s="779" t="str">
        <f t="shared" si="19"/>
        <v/>
      </c>
      <c r="E98" s="779" t="str">
        <f t="shared" si="20"/>
        <v/>
      </c>
      <c r="F98" s="779" t="str">
        <f t="shared" si="21"/>
        <v/>
      </c>
      <c r="G98" s="780" t="str">
        <f t="shared" si="22"/>
        <v/>
      </c>
      <c r="H98" s="781" t="str">
        <f t="shared" si="23"/>
        <v/>
      </c>
      <c r="I98" s="782" t="str">
        <f t="shared" si="24"/>
        <v/>
      </c>
      <c r="J98" s="781" t="str">
        <f t="shared" si="25"/>
        <v/>
      </c>
      <c r="K98" s="780" t="str">
        <f t="shared" si="26"/>
        <v/>
      </c>
      <c r="L98" s="729" t="str">
        <f>IF($B98&lt;=$F$4,($D98-$H98)/'3.1 Delinquency Data'!C98,"")</f>
        <v/>
      </c>
      <c r="M98" s="94"/>
    </row>
    <row r="99" spans="1:13">
      <c r="A99" s="225"/>
      <c r="B99" s="858">
        <v>79</v>
      </c>
      <c r="C99" s="727" t="str">
        <f t="shared" si="18"/>
        <v/>
      </c>
      <c r="D99" s="779" t="str">
        <f t="shared" si="19"/>
        <v/>
      </c>
      <c r="E99" s="779" t="str">
        <f t="shared" si="20"/>
        <v/>
      </c>
      <c r="F99" s="779" t="str">
        <f t="shared" si="21"/>
        <v/>
      </c>
      <c r="G99" s="780" t="str">
        <f t="shared" si="22"/>
        <v/>
      </c>
      <c r="H99" s="781" t="str">
        <f t="shared" si="23"/>
        <v/>
      </c>
      <c r="I99" s="782" t="str">
        <f t="shared" si="24"/>
        <v/>
      </c>
      <c r="J99" s="781" t="str">
        <f t="shared" si="25"/>
        <v/>
      </c>
      <c r="K99" s="780" t="str">
        <f t="shared" si="26"/>
        <v/>
      </c>
      <c r="L99" s="729" t="str">
        <f>IF($B99&lt;=$F$4,($D99-$H99)/'3.1 Delinquency Data'!C99,"")</f>
        <v/>
      </c>
      <c r="M99" s="94"/>
    </row>
    <row r="100" spans="1:13">
      <c r="A100" s="225"/>
      <c r="B100" s="739">
        <v>80</v>
      </c>
      <c r="C100" s="811" t="str">
        <f t="shared" si="18"/>
        <v/>
      </c>
      <c r="D100" s="812" t="str">
        <f t="shared" si="19"/>
        <v/>
      </c>
      <c r="E100" s="812" t="str">
        <f t="shared" si="20"/>
        <v/>
      </c>
      <c r="F100" s="812" t="str">
        <f t="shared" si="21"/>
        <v/>
      </c>
      <c r="G100" s="813" t="str">
        <f t="shared" si="22"/>
        <v/>
      </c>
      <c r="H100" s="814" t="str">
        <f t="shared" si="23"/>
        <v/>
      </c>
      <c r="I100" s="815" t="str">
        <f t="shared" si="24"/>
        <v/>
      </c>
      <c r="J100" s="814" t="str">
        <f t="shared" si="25"/>
        <v/>
      </c>
      <c r="K100" s="813" t="str">
        <f t="shared" si="26"/>
        <v/>
      </c>
      <c r="L100" s="740" t="str">
        <f>IF(ISNUMBER($C100),($D100-$H100)/'3.1 Delinquency Data'!C100,"")</f>
        <v/>
      </c>
      <c r="M100" s="94"/>
    </row>
    <row r="101" spans="1:13">
      <c r="A101" s="289"/>
      <c r="B101" s="873" t="s">
        <v>765</v>
      </c>
      <c r="C101" s="816"/>
      <c r="D101" s="817"/>
      <c r="E101" s="817"/>
      <c r="F101" s="817"/>
      <c r="G101" s="818"/>
      <c r="H101" s="819"/>
      <c r="I101" s="820"/>
      <c r="J101" s="819"/>
      <c r="K101" s="818"/>
      <c r="L101" s="35"/>
      <c r="M101" s="95"/>
    </row>
  </sheetData>
  <mergeCells count="1">
    <mergeCell ref="I17:K17"/>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22" customWidth="1"/>
    <col min="2" max="2" width="86" style="22" customWidth="1"/>
    <col min="3" max="3" width="19.1796875" style="22" customWidth="1"/>
    <col min="4" max="4" width="21.453125" style="22" customWidth="1"/>
    <col min="5" max="5" width="4.81640625" style="22" customWidth="1"/>
    <col min="6" max="6" width="18.81640625" style="22" customWidth="1"/>
    <col min="7" max="7" width="4.81640625" style="22" customWidth="1"/>
    <col min="8" max="8" width="18.81640625" style="22" customWidth="1"/>
    <col min="9" max="9" width="4.81640625" style="22" customWidth="1"/>
    <col min="10" max="10" width="18.81640625" style="22" customWidth="1"/>
    <col min="11" max="11" width="4.81640625" style="22" customWidth="1"/>
    <col min="12" max="12" width="18.81640625" style="22" customWidth="1"/>
    <col min="13" max="13" width="2" style="22" customWidth="1"/>
    <col min="14" max="16384" width="9.1796875" style="22"/>
  </cols>
  <sheetData>
    <row r="1" spans="1:13" ht="6" customHeight="1">
      <c r="A1" s="222"/>
      <c r="B1" s="223"/>
      <c r="C1" s="223"/>
      <c r="D1" s="223"/>
      <c r="E1" s="223"/>
      <c r="F1" s="223"/>
      <c r="G1" s="223"/>
      <c r="H1" s="223"/>
      <c r="I1" s="223"/>
      <c r="J1" s="223"/>
      <c r="K1" s="223"/>
      <c r="L1" s="223"/>
      <c r="M1" s="224"/>
    </row>
    <row r="2" spans="1:13" ht="18" customHeight="1">
      <c r="A2" s="225"/>
      <c r="B2" s="226" t="str">
        <f>'Cover Sheet'!B2</f>
        <v>SC Germany Consumer 2024-1</v>
      </c>
      <c r="C2" s="226"/>
      <c r="D2" s="659" t="str">
        <f>'Cover Sheet'!D2</f>
        <v>Calculation Date</v>
      </c>
      <c r="E2" s="660"/>
      <c r="F2" s="661">
        <f>'Cover Sheet'!F2</f>
        <v>45911</v>
      </c>
      <c r="G2" s="660"/>
      <c r="H2" s="660"/>
      <c r="I2" s="660"/>
      <c r="J2" s="660"/>
      <c r="K2" s="660"/>
      <c r="L2" s="662"/>
      <c r="M2" s="94"/>
    </row>
    <row r="3" spans="1:13" ht="18" customHeight="1">
      <c r="A3" s="225"/>
      <c r="B3" s="226" t="str">
        <f>'Cover Sheet'!B3</f>
        <v>Monthly Investor Report</v>
      </c>
      <c r="C3" s="226"/>
      <c r="D3" s="663" t="str">
        <f>'Cover Sheet'!D3</f>
        <v>Payment Date</v>
      </c>
      <c r="E3" s="664"/>
      <c r="F3" s="665">
        <f>'Cover Sheet'!F3</f>
        <v>45915</v>
      </c>
      <c r="G3" s="664"/>
      <c r="H3" s="664"/>
      <c r="I3" s="664"/>
      <c r="J3" s="664"/>
      <c r="K3" s="664"/>
      <c r="L3" s="666"/>
      <c r="M3" s="94"/>
    </row>
    <row r="4" spans="1:13">
      <c r="A4" s="225"/>
      <c r="B4" s="667"/>
      <c r="C4" s="109"/>
      <c r="D4" s="663" t="str">
        <f>'Cover Sheet'!D4</f>
        <v>Period  No</v>
      </c>
      <c r="E4" s="664"/>
      <c r="F4" s="668">
        <f>'Cover Sheet'!F4</f>
        <v>16</v>
      </c>
      <c r="G4" s="664"/>
      <c r="H4" s="669"/>
      <c r="I4" s="664"/>
      <c r="J4" s="670"/>
      <c r="K4" s="664"/>
      <c r="L4" s="666"/>
      <c r="M4" s="94"/>
    </row>
    <row r="5" spans="1:13" ht="17.25" customHeight="1">
      <c r="A5" s="225"/>
      <c r="B5" s="240" t="s">
        <v>155</v>
      </c>
      <c r="C5" s="240"/>
      <c r="D5" s="663" t="str">
        <f>'Cover Sheet'!D5</f>
        <v>Monthly Period</v>
      </c>
      <c r="E5" s="664"/>
      <c r="F5" s="130">
        <f>'Cover Sheet'!F5</f>
        <v>45915</v>
      </c>
      <c r="G5" s="664"/>
      <c r="H5" s="669"/>
      <c r="I5" s="664"/>
      <c r="J5" s="670"/>
      <c r="K5" s="664"/>
      <c r="L5" s="666"/>
      <c r="M5" s="94"/>
    </row>
    <row r="6" spans="1:13" ht="15" customHeight="1">
      <c r="A6" s="225"/>
      <c r="B6" s="671"/>
      <c r="C6" s="672"/>
      <c r="D6" s="663" t="str">
        <f>'Cover Sheet'!D6</f>
        <v>Interest Period</v>
      </c>
      <c r="E6" s="670" t="s">
        <v>34</v>
      </c>
      <c r="F6" s="665">
        <f>'Cover Sheet'!F6</f>
        <v>45883</v>
      </c>
      <c r="G6" s="670" t="str">
        <f>'Cover Sheet'!G6</f>
        <v>to</v>
      </c>
      <c r="H6" s="665">
        <f>'Cover Sheet'!H6</f>
        <v>45915</v>
      </c>
      <c r="I6" s="664" t="str">
        <f>'Cover Sheet'!I6</f>
        <v>=</v>
      </c>
      <c r="J6" s="673" t="str">
        <f>'Cover Sheet'!J6</f>
        <v>32 days</v>
      </c>
      <c r="K6" s="670"/>
      <c r="L6" s="674"/>
      <c r="M6" s="94"/>
    </row>
    <row r="7" spans="1:13" ht="12.75" customHeight="1">
      <c r="A7" s="225"/>
      <c r="D7" s="675" t="str">
        <f>'Cover Sheet'!D7</f>
        <v>Collection Period</v>
      </c>
      <c r="E7" s="676" t="s">
        <v>34</v>
      </c>
      <c r="F7" s="677" t="str">
        <f>'Cover Sheet'!F7</f>
        <v>01.08.2025</v>
      </c>
      <c r="G7" s="676" t="str">
        <f>'Cover Sheet'!G7</f>
        <v>to</v>
      </c>
      <c r="H7" s="677">
        <f>'Cover Sheet'!H7</f>
        <v>45900</v>
      </c>
      <c r="I7" s="678"/>
      <c r="J7" s="678"/>
      <c r="K7" s="678"/>
      <c r="L7" s="679"/>
      <c r="M7" s="299"/>
    </row>
    <row r="8" spans="1:13" ht="13">
      <c r="A8" s="225"/>
      <c r="F8" s="680"/>
      <c r="G8" s="5"/>
      <c r="H8" s="231"/>
      <c r="J8" s="250"/>
      <c r="L8" s="78"/>
      <c r="M8" s="94"/>
    </row>
    <row r="9" spans="1:13">
      <c r="A9" s="225"/>
      <c r="F9" s="109"/>
      <c r="M9" s="94"/>
    </row>
    <row r="10" spans="1:13">
      <c r="A10" s="225"/>
      <c r="F10" s="109"/>
      <c r="M10" s="94"/>
    </row>
    <row r="11" spans="1:13" ht="18">
      <c r="A11" s="225"/>
      <c r="D11" s="365" t="s">
        <v>236</v>
      </c>
      <c r="F11" s="109"/>
      <c r="H11" s="884" t="s">
        <v>818</v>
      </c>
      <c r="M11" s="94"/>
    </row>
    <row r="12" spans="1:13" ht="18" customHeight="1">
      <c r="A12" s="225"/>
      <c r="F12" s="5"/>
      <c r="G12" s="681"/>
      <c r="H12" s="681"/>
      <c r="I12" s="681"/>
      <c r="J12" s="681"/>
      <c r="K12" s="681"/>
      <c r="L12" s="5"/>
      <c r="M12" s="94"/>
    </row>
    <row r="13" spans="1:13" ht="14.5">
      <c r="A13" s="225"/>
      <c r="B13" s="682" t="s">
        <v>156</v>
      </c>
      <c r="C13" s="78" t="s">
        <v>157</v>
      </c>
      <c r="D13" s="78" t="s">
        <v>158</v>
      </c>
      <c r="E13" s="78"/>
      <c r="F13" s="78" t="s">
        <v>159</v>
      </c>
      <c r="G13" s="78"/>
      <c r="H13" s="78" t="s">
        <v>12</v>
      </c>
      <c r="I13" s="683"/>
      <c r="J13" s="683"/>
      <c r="K13" s="683"/>
      <c r="L13" s="683"/>
      <c r="M13" s="94"/>
    </row>
    <row r="14" spans="1:13" ht="13">
      <c r="A14" s="225"/>
      <c r="B14" s="682"/>
      <c r="C14" s="78"/>
      <c r="D14" s="78"/>
      <c r="E14" s="78"/>
      <c r="F14" s="78"/>
      <c r="G14" s="78"/>
      <c r="H14" s="78"/>
      <c r="I14" s="681"/>
      <c r="J14" s="681"/>
      <c r="K14" s="681"/>
      <c r="L14" s="681"/>
      <c r="M14" s="94"/>
    </row>
    <row r="15" spans="1:13">
      <c r="A15" s="225"/>
      <c r="B15" s="65" t="s">
        <v>245</v>
      </c>
      <c r="C15" s="684">
        <v>8.3000000000000004E-2</v>
      </c>
      <c r="D15" s="685" t="s">
        <v>35</v>
      </c>
      <c r="F15" s="807" t="s">
        <v>35</v>
      </c>
      <c r="G15" s="5"/>
      <c r="H15" s="145"/>
      <c r="I15" s="681"/>
      <c r="J15" s="681"/>
      <c r="K15" s="681"/>
      <c r="L15" s="681"/>
      <c r="M15" s="94"/>
    </row>
    <row r="16" spans="1:13">
      <c r="A16" s="225"/>
      <c r="M16" s="94"/>
    </row>
    <row r="17" spans="1:13">
      <c r="A17" s="225"/>
      <c r="B17" s="686" t="s">
        <v>246</v>
      </c>
      <c r="C17" s="687" t="s">
        <v>35</v>
      </c>
      <c r="D17" s="774">
        <v>200000</v>
      </c>
      <c r="E17" s="773"/>
      <c r="F17" s="827" t="s">
        <v>35</v>
      </c>
      <c r="G17" s="681"/>
      <c r="H17" s="145"/>
      <c r="I17" s="681"/>
      <c r="J17" s="681"/>
      <c r="K17" s="681"/>
      <c r="L17" s="681"/>
      <c r="M17" s="94"/>
    </row>
    <row r="18" spans="1:13">
      <c r="A18" s="225"/>
      <c r="B18" s="689"/>
      <c r="C18" s="687"/>
      <c r="D18" s="690"/>
      <c r="E18" s="681"/>
      <c r="F18" s="826"/>
      <c r="G18" s="681"/>
      <c r="H18" s="681"/>
      <c r="I18" s="681"/>
      <c r="J18" s="681"/>
      <c r="K18" s="681"/>
      <c r="L18" s="681"/>
      <c r="M18" s="94"/>
    </row>
    <row r="19" spans="1:13">
      <c r="A19" s="225"/>
      <c r="B19" s="689" t="s">
        <v>66</v>
      </c>
      <c r="C19" s="687"/>
      <c r="D19" s="691">
        <v>85</v>
      </c>
      <c r="E19" s="681"/>
      <c r="F19" s="828" t="s">
        <v>35</v>
      </c>
      <c r="G19" s="681"/>
      <c r="H19" s="145"/>
      <c r="I19" s="681"/>
      <c r="J19" s="681"/>
      <c r="K19" s="681"/>
      <c r="L19" s="681"/>
      <c r="M19" s="94"/>
    </row>
    <row r="20" spans="1:13">
      <c r="A20" s="225"/>
      <c r="B20" s="689"/>
      <c r="C20" s="687"/>
      <c r="D20" s="690"/>
      <c r="E20" s="681"/>
      <c r="F20" s="681"/>
      <c r="G20" s="681"/>
      <c r="H20" s="681"/>
      <c r="I20" s="681"/>
      <c r="J20" s="681"/>
      <c r="K20" s="681"/>
      <c r="L20" s="681"/>
      <c r="M20" s="94"/>
    </row>
    <row r="21" spans="1:13" ht="13">
      <c r="A21" s="225"/>
      <c r="B21" s="682"/>
      <c r="D21" s="78" t="s">
        <v>158</v>
      </c>
      <c r="E21" s="78"/>
      <c r="F21" s="78" t="s">
        <v>159</v>
      </c>
      <c r="G21" s="78"/>
      <c r="H21" s="78" t="s">
        <v>12</v>
      </c>
      <c r="I21" s="681"/>
      <c r="J21" s="681"/>
      <c r="K21" s="681"/>
      <c r="L21" s="681"/>
      <c r="M21" s="94"/>
    </row>
    <row r="22" spans="1:13">
      <c r="A22" s="225"/>
      <c r="B22" s="689"/>
      <c r="C22" s="687"/>
      <c r="D22" s="690"/>
      <c r="E22" s="681"/>
      <c r="F22" s="681"/>
      <c r="G22" s="681"/>
      <c r="H22" s="681"/>
      <c r="I22" s="681"/>
      <c r="J22" s="681"/>
      <c r="K22" s="681"/>
      <c r="L22" s="681"/>
      <c r="M22" s="94"/>
    </row>
    <row r="23" spans="1:13">
      <c r="A23" s="225"/>
      <c r="B23" s="686"/>
      <c r="C23" s="687"/>
      <c r="D23" s="692"/>
      <c r="E23" s="681"/>
      <c r="F23" s="693"/>
      <c r="G23" s="681"/>
      <c r="H23" s="145"/>
      <c r="I23" s="681"/>
      <c r="J23" s="681"/>
      <c r="K23" s="681"/>
      <c r="L23" s="681"/>
      <c r="M23" s="94"/>
    </row>
    <row r="24" spans="1:13" ht="13">
      <c r="A24" s="225"/>
      <c r="B24" s="21" t="s">
        <v>160</v>
      </c>
      <c r="C24" s="687"/>
      <c r="D24" s="690"/>
      <c r="E24" s="681"/>
      <c r="F24" s="681"/>
      <c r="G24" s="681"/>
      <c r="H24" s="145"/>
      <c r="I24" s="681"/>
      <c r="J24" s="681"/>
      <c r="K24" s="681"/>
      <c r="L24" s="681"/>
      <c r="M24" s="94"/>
    </row>
    <row r="25" spans="1:13" ht="13">
      <c r="A25" s="225"/>
      <c r="B25" s="689" t="s">
        <v>161</v>
      </c>
      <c r="C25" s="694"/>
      <c r="D25" s="774">
        <v>150000000</v>
      </c>
      <c r="E25" s="830"/>
      <c r="F25" s="827" t="s">
        <v>35</v>
      </c>
      <c r="G25" s="696"/>
      <c r="H25" s="695"/>
      <c r="I25" s="695"/>
      <c r="J25" s="695"/>
      <c r="K25" s="695"/>
      <c r="L25" s="681"/>
      <c r="M25" s="94"/>
    </row>
    <row r="26" spans="1:13">
      <c r="A26" s="225"/>
      <c r="B26" s="689" t="s">
        <v>162</v>
      </c>
      <c r="C26" s="687"/>
      <c r="D26" s="774">
        <v>150000000</v>
      </c>
      <c r="E26" s="831"/>
      <c r="F26" s="827" t="s">
        <v>35</v>
      </c>
      <c r="G26" s="681"/>
      <c r="I26" s="681"/>
      <c r="J26" s="681"/>
      <c r="K26" s="681"/>
      <c r="L26" s="681"/>
      <c r="M26" s="94"/>
    </row>
    <row r="27" spans="1:13">
      <c r="A27" s="225"/>
      <c r="B27" s="689" t="s">
        <v>163</v>
      </c>
      <c r="C27" s="687"/>
      <c r="D27" s="774">
        <v>150000000</v>
      </c>
      <c r="E27" s="831"/>
      <c r="F27" s="827" t="s">
        <v>35</v>
      </c>
      <c r="G27" s="681"/>
      <c r="H27" s="681"/>
      <c r="I27" s="681"/>
      <c r="J27" s="681"/>
      <c r="K27" s="681"/>
      <c r="L27" s="681"/>
      <c r="M27" s="94"/>
    </row>
    <row r="28" spans="1:13">
      <c r="A28" s="225"/>
      <c r="B28" s="689"/>
      <c r="C28" s="687"/>
      <c r="D28" s="681"/>
      <c r="E28" s="681"/>
      <c r="F28" s="681"/>
      <c r="G28" s="681"/>
      <c r="H28" s="681"/>
      <c r="I28" s="681"/>
      <c r="J28" s="681"/>
      <c r="K28" s="681"/>
      <c r="L28" s="681"/>
      <c r="M28" s="94"/>
    </row>
    <row r="29" spans="1:13" ht="13">
      <c r="A29" s="225"/>
      <c r="B29" s="21" t="s">
        <v>248</v>
      </c>
      <c r="C29" s="687"/>
      <c r="D29" s="681"/>
      <c r="E29" s="681"/>
      <c r="F29" s="688"/>
      <c r="G29" s="681"/>
      <c r="H29" s="145" t="s">
        <v>43</v>
      </c>
      <c r="I29" s="681"/>
      <c r="J29" s="681"/>
      <c r="K29" s="681"/>
      <c r="L29" s="681"/>
      <c r="M29" s="94"/>
    </row>
    <row r="30" spans="1:13">
      <c r="A30" s="225"/>
      <c r="C30" s="687"/>
      <c r="D30" s="681"/>
      <c r="E30" s="681"/>
      <c r="F30" s="688"/>
      <c r="G30" s="681"/>
      <c r="H30" s="145"/>
      <c r="I30" s="681"/>
      <c r="J30" s="681"/>
      <c r="K30" s="681"/>
      <c r="L30" s="681"/>
      <c r="M30" s="94"/>
    </row>
    <row r="31" spans="1:13" ht="13">
      <c r="A31" s="225"/>
      <c r="B31" s="21" t="s">
        <v>286</v>
      </c>
      <c r="C31" s="687"/>
      <c r="D31" s="681"/>
      <c r="E31" s="681"/>
      <c r="F31" s="688"/>
      <c r="G31" s="681"/>
      <c r="H31" s="145" t="s">
        <v>43</v>
      </c>
      <c r="I31" s="681"/>
      <c r="J31" s="681"/>
      <c r="K31" s="681"/>
      <c r="L31" s="681"/>
      <c r="M31" s="94"/>
    </row>
    <row r="32" spans="1:13" ht="13">
      <c r="A32" s="225"/>
      <c r="B32" s="21"/>
      <c r="C32" s="687"/>
      <c r="D32" s="681"/>
      <c r="E32" s="681"/>
      <c r="F32" s="688"/>
      <c r="G32" s="681"/>
      <c r="H32" s="145"/>
      <c r="I32" s="681"/>
      <c r="J32" s="681"/>
      <c r="K32" s="681"/>
      <c r="L32" s="681"/>
      <c r="M32" s="94"/>
    </row>
    <row r="33" spans="1:13" ht="13">
      <c r="A33" s="225"/>
      <c r="B33" s="21" t="s">
        <v>810</v>
      </c>
      <c r="C33" s="687"/>
      <c r="D33" s="681"/>
      <c r="E33" s="681"/>
      <c r="F33" s="688"/>
      <c r="G33" s="681"/>
      <c r="H33" s="145"/>
      <c r="I33" s="681"/>
      <c r="J33" s="681"/>
      <c r="K33" s="681"/>
      <c r="L33" s="681"/>
      <c r="M33" s="94"/>
    </row>
    <row r="34" spans="1:13">
      <c r="A34" s="225"/>
      <c r="B34" s="689" t="s">
        <v>811</v>
      </c>
      <c r="C34" s="687"/>
      <c r="D34" s="859">
        <v>0.23</v>
      </c>
      <c r="E34" s="681"/>
      <c r="F34" s="693">
        <f>1-('5. Outstanding Notes'!D27/'1. Portfolio Information'!F15)</f>
        <v>0.21694064802065183</v>
      </c>
      <c r="G34" s="681"/>
      <c r="H34" s="145" t="str">
        <f>IF(F34&lt;D34,"Sequential Payment","Pro Rata Payment")</f>
        <v>Sequential Payment</v>
      </c>
      <c r="I34" s="681"/>
      <c r="J34" s="681"/>
      <c r="K34" s="681"/>
      <c r="L34" s="681"/>
      <c r="M34" s="94"/>
    </row>
    <row r="35" spans="1:13">
      <c r="A35" s="225"/>
      <c r="C35" s="687"/>
      <c r="D35" s="681"/>
      <c r="E35" s="681"/>
      <c r="F35" s="688"/>
      <c r="G35" s="681"/>
      <c r="H35" s="145"/>
      <c r="I35" s="681"/>
      <c r="J35" s="681"/>
      <c r="K35" s="681"/>
      <c r="L35" s="681"/>
      <c r="M35" s="94"/>
    </row>
    <row r="36" spans="1:13" ht="13">
      <c r="A36" s="225"/>
      <c r="B36" s="91" t="s">
        <v>287</v>
      </c>
      <c r="C36" s="687"/>
      <c r="D36" s="681"/>
      <c r="E36" s="681"/>
      <c r="F36" s="681"/>
      <c r="G36" s="681"/>
      <c r="H36" s="145" t="s">
        <v>43</v>
      </c>
      <c r="I36" s="681"/>
      <c r="J36" s="681"/>
      <c r="K36" s="681"/>
      <c r="L36" s="681"/>
      <c r="M36" s="94"/>
    </row>
    <row r="37" spans="1:13" ht="14" customHeight="1">
      <c r="A37" s="225"/>
      <c r="B37" s="689" t="s">
        <v>247</v>
      </c>
      <c r="C37" s="687"/>
      <c r="E37" s="681"/>
      <c r="F37" s="681"/>
      <c r="G37" s="681"/>
      <c r="H37" s="681"/>
      <c r="I37" s="681"/>
      <c r="J37" s="681"/>
      <c r="K37" s="681"/>
      <c r="L37" s="681"/>
      <c r="M37" s="94"/>
    </row>
    <row r="38" spans="1:13" ht="14" customHeight="1">
      <c r="A38" s="225"/>
      <c r="B38" s="686" t="s">
        <v>739</v>
      </c>
      <c r="C38" s="687"/>
      <c r="D38" s="692">
        <v>0.01</v>
      </c>
      <c r="E38" s="681"/>
      <c r="F38" s="903">
        <f>VLOOKUP(F4,'3.3 Defaults &amp; Recoveries p.p.'!B20:K100,10,FALSE)</f>
        <v>2.3345298614259376E-2</v>
      </c>
      <c r="G38" s="681"/>
      <c r="H38" s="145"/>
      <c r="I38" s="681"/>
      <c r="J38" s="681"/>
      <c r="K38" s="681"/>
      <c r="L38" s="681"/>
      <c r="M38" s="94"/>
    </row>
    <row r="39" spans="1:13" ht="14" customHeight="1">
      <c r="A39" s="225"/>
      <c r="B39" s="686" t="s">
        <v>740</v>
      </c>
      <c r="C39" s="687"/>
      <c r="D39" s="692">
        <v>2.2499999999999999E-2</v>
      </c>
      <c r="E39" s="681"/>
      <c r="F39" s="903"/>
      <c r="G39" s="681"/>
      <c r="H39" s="145"/>
      <c r="I39" s="681"/>
      <c r="J39" s="681"/>
      <c r="K39" s="681"/>
      <c r="L39" s="681"/>
      <c r="M39" s="94"/>
    </row>
    <row r="40" spans="1:13" ht="14" customHeight="1">
      <c r="A40" s="225"/>
      <c r="B40" s="686" t="s">
        <v>741</v>
      </c>
      <c r="C40" s="687"/>
      <c r="D40" s="692">
        <v>3.5000000000000003E-2</v>
      </c>
      <c r="E40" s="681"/>
      <c r="F40" s="903"/>
      <c r="G40" s="681"/>
      <c r="H40" s="145"/>
      <c r="I40" s="681"/>
      <c r="J40" s="681"/>
      <c r="K40" s="681"/>
      <c r="L40" s="681"/>
      <c r="M40" s="94"/>
    </row>
    <row r="41" spans="1:13" ht="14" customHeight="1">
      <c r="A41" s="225"/>
      <c r="B41" s="686" t="s">
        <v>742</v>
      </c>
      <c r="C41" s="687"/>
      <c r="D41" s="692">
        <v>4.2500000000000003E-2</v>
      </c>
      <c r="E41" s="681"/>
      <c r="F41" s="903"/>
      <c r="G41" s="681"/>
      <c r="H41" s="145"/>
      <c r="I41" s="681"/>
      <c r="J41" s="681"/>
      <c r="K41" s="681"/>
      <c r="L41" s="681"/>
      <c r="M41" s="94"/>
    </row>
    <row r="42" spans="1:13" ht="14" customHeight="1">
      <c r="A42" s="225"/>
      <c r="B42" s="686" t="s">
        <v>743</v>
      </c>
      <c r="C42" s="687"/>
      <c r="D42" s="692">
        <v>0.05</v>
      </c>
      <c r="E42" s="681"/>
      <c r="F42" s="903"/>
      <c r="G42" s="681"/>
      <c r="H42" s="145"/>
      <c r="I42" s="681"/>
      <c r="J42" s="681"/>
      <c r="K42" s="681"/>
      <c r="L42" s="681"/>
      <c r="M42" s="94"/>
    </row>
    <row r="43" spans="1:13" ht="14" customHeight="1">
      <c r="A43" s="225"/>
      <c r="B43" s="689" t="s">
        <v>407</v>
      </c>
      <c r="C43" s="697"/>
      <c r="D43" s="857">
        <v>7500000</v>
      </c>
      <c r="E43" s="73"/>
      <c r="F43" s="829">
        <f>'3.2 Default Data'!F62+'3.2 Default Data'!F68</f>
        <v>0</v>
      </c>
      <c r="G43" s="73"/>
      <c r="H43" s="145"/>
      <c r="I43" s="681"/>
      <c r="J43" s="681"/>
      <c r="K43" s="681"/>
      <c r="L43" s="681"/>
      <c r="M43" s="94"/>
    </row>
    <row r="44" spans="1:13" ht="28" customHeight="1">
      <c r="A44" s="225"/>
      <c r="B44" s="699" t="s">
        <v>410</v>
      </c>
      <c r="C44" s="700">
        <v>0.1</v>
      </c>
      <c r="D44" s="692"/>
      <c r="E44" s="681"/>
      <c r="F44" s="693">
        <f>'1. Portfolio Information'!F28/'1.1 Portfolio Information p.p.'!C15</f>
        <v>0.7544958611032816</v>
      </c>
      <c r="G44" s="681"/>
      <c r="H44" s="145"/>
      <c r="I44" s="681"/>
      <c r="J44" s="681"/>
      <c r="K44" s="681"/>
      <c r="L44" s="681"/>
      <c r="M44" s="94"/>
    </row>
    <row r="45" spans="1:13" ht="14" customHeight="1">
      <c r="A45" s="225"/>
      <c r="B45" s="699" t="s">
        <v>411</v>
      </c>
      <c r="C45" s="700"/>
      <c r="D45" s="692">
        <v>4.1999999999999997E-3</v>
      </c>
      <c r="E45" s="681"/>
      <c r="F45" s="693">
        <f>'3.3 Defaults &amp; Recoveries p.p.'!L17</f>
        <v>2.8930204360981524E-3</v>
      </c>
      <c r="G45" s="681"/>
      <c r="H45" s="145"/>
      <c r="I45" s="681"/>
      <c r="J45" s="681"/>
      <c r="K45" s="681"/>
      <c r="L45" s="681"/>
      <c r="M45" s="94"/>
    </row>
    <row r="46" spans="1:13" ht="14" customHeight="1">
      <c r="A46" s="225"/>
      <c r="B46" s="686" t="s">
        <v>402</v>
      </c>
      <c r="C46" s="687"/>
      <c r="D46" s="692"/>
      <c r="E46" s="681"/>
      <c r="F46" s="693"/>
      <c r="G46" s="681"/>
      <c r="H46" s="145"/>
      <c r="I46" s="681"/>
      <c r="J46" s="681"/>
      <c r="K46" s="681"/>
      <c r="L46" s="681"/>
      <c r="M46" s="94"/>
    </row>
    <row r="47" spans="1:13" ht="14" customHeight="1">
      <c r="A47" s="225"/>
      <c r="B47" s="149" t="s">
        <v>303</v>
      </c>
      <c r="C47" s="687"/>
      <c r="D47" s="681"/>
      <c r="E47" s="681"/>
      <c r="F47" s="681"/>
      <c r="G47" s="681"/>
      <c r="H47" s="145"/>
      <c r="I47" s="681"/>
      <c r="J47" s="681"/>
      <c r="K47" s="681"/>
      <c r="L47" s="681"/>
      <c r="M47" s="94"/>
    </row>
    <row r="48" spans="1:13" ht="14" customHeight="1">
      <c r="A48" s="225"/>
      <c r="B48" s="689" t="s">
        <v>305</v>
      </c>
      <c r="C48" s="687"/>
      <c r="D48" s="681"/>
      <c r="E48" s="681"/>
      <c r="F48" s="681"/>
      <c r="G48" s="681"/>
      <c r="H48" s="145"/>
      <c r="I48" s="681"/>
      <c r="J48" s="681"/>
      <c r="K48" s="681"/>
      <c r="L48" s="681"/>
      <c r="M48" s="94"/>
    </row>
    <row r="49" spans="1:13">
      <c r="A49" s="225"/>
      <c r="B49" s="689"/>
      <c r="C49" s="687"/>
      <c r="D49" s="681"/>
      <c r="E49" s="681"/>
      <c r="F49" s="681"/>
      <c r="G49" s="681"/>
      <c r="H49" s="681"/>
      <c r="I49" s="681"/>
      <c r="J49" s="681"/>
      <c r="K49" s="681"/>
      <c r="L49" s="681"/>
      <c r="M49" s="94"/>
    </row>
    <row r="50" spans="1:13" ht="13">
      <c r="A50" s="225"/>
      <c r="B50" s="21" t="s">
        <v>304</v>
      </c>
      <c r="C50" s="21"/>
      <c r="D50" s="701"/>
      <c r="E50" s="21"/>
      <c r="F50" s="702"/>
      <c r="G50" s="21"/>
      <c r="H50" s="145"/>
      <c r="I50" s="681"/>
      <c r="J50" s="681"/>
      <c r="K50" s="681"/>
      <c r="L50" s="681"/>
      <c r="M50" s="94"/>
    </row>
    <row r="51" spans="1:13" ht="14" customHeight="1">
      <c r="A51" s="225"/>
      <c r="B51" s="689" t="s">
        <v>247</v>
      </c>
      <c r="C51" s="687"/>
      <c r="E51" s="681"/>
      <c r="F51" s="681"/>
      <c r="G51" s="681"/>
      <c r="H51" s="681"/>
      <c r="J51" s="703"/>
      <c r="L51" s="704"/>
      <c r="M51" s="94"/>
    </row>
    <row r="52" spans="1:13" ht="14" customHeight="1">
      <c r="A52" s="225"/>
      <c r="B52" s="686" t="s">
        <v>744</v>
      </c>
      <c r="C52" s="687"/>
      <c r="D52" s="692">
        <v>0.01</v>
      </c>
      <c r="E52" s="681"/>
      <c r="F52" s="883" t="s">
        <v>35</v>
      </c>
      <c r="G52" s="681"/>
      <c r="H52" s="145"/>
      <c r="M52" s="94"/>
    </row>
    <row r="53" spans="1:13" ht="14" customHeight="1">
      <c r="A53" s="225"/>
      <c r="B53" s="705" t="s">
        <v>160</v>
      </c>
      <c r="C53" s="5"/>
      <c r="D53" s="706"/>
      <c r="F53" s="707"/>
      <c r="H53" s="145"/>
      <c r="M53" s="94"/>
    </row>
    <row r="54" spans="1:13" ht="14" customHeight="1">
      <c r="A54" s="225"/>
      <c r="B54" s="22" t="s">
        <v>305</v>
      </c>
      <c r="C54" s="21"/>
      <c r="D54" s="701"/>
      <c r="E54" s="21"/>
      <c r="F54" s="702"/>
      <c r="G54" s="21"/>
      <c r="H54" s="145"/>
      <c r="J54" s="703"/>
      <c r="L54" s="703"/>
      <c r="M54" s="94"/>
    </row>
    <row r="55" spans="1:13" ht="14" customHeight="1">
      <c r="A55" s="225"/>
      <c r="B55" s="22" t="s">
        <v>286</v>
      </c>
      <c r="H55" s="5"/>
      <c r="J55" s="703"/>
      <c r="L55" s="703"/>
      <c r="M55" s="94"/>
    </row>
    <row r="56" spans="1:13" ht="14" customHeight="1">
      <c r="A56" s="225"/>
      <c r="B56" s="22" t="s">
        <v>794</v>
      </c>
      <c r="D56" s="698"/>
      <c r="E56" s="73"/>
      <c r="F56" s="698"/>
      <c r="G56" s="73"/>
      <c r="H56" s="145"/>
      <c r="J56" s="708"/>
      <c r="L56" s="708"/>
      <c r="M56" s="94"/>
    </row>
    <row r="57" spans="1:13" ht="14" customHeight="1">
      <c r="A57" s="225"/>
      <c r="B57" s="689" t="s">
        <v>162</v>
      </c>
      <c r="D57" s="901">
        <v>2.5000000000000001E-3</v>
      </c>
      <c r="F57" s="836" t="s">
        <v>35</v>
      </c>
      <c r="H57" s="902"/>
      <c r="J57" s="709"/>
      <c r="L57" s="109"/>
      <c r="M57" s="94"/>
    </row>
    <row r="58" spans="1:13" ht="14" customHeight="1">
      <c r="A58" s="225"/>
      <c r="B58" s="689" t="s">
        <v>163</v>
      </c>
      <c r="D58" s="901"/>
      <c r="F58" s="836" t="s">
        <v>35</v>
      </c>
      <c r="H58" s="902"/>
      <c r="M58" s="94"/>
    </row>
    <row r="59" spans="1:13">
      <c r="A59" s="225"/>
      <c r="D59" s="109"/>
      <c r="F59" s="109"/>
      <c r="M59" s="94"/>
    </row>
    <row r="60" spans="1:13" ht="18" customHeight="1">
      <c r="A60" s="225"/>
      <c r="B60" s="226"/>
      <c r="D60" s="109"/>
      <c r="F60" s="109"/>
      <c r="M60" s="94"/>
    </row>
    <row r="61" spans="1:13" ht="12.75" customHeight="1">
      <c r="A61" s="225"/>
      <c r="D61" s="710"/>
      <c r="F61" s="109"/>
      <c r="M61" s="94"/>
    </row>
    <row r="62" spans="1:13" ht="12.75" customHeight="1">
      <c r="A62" s="225"/>
      <c r="D62" s="710"/>
      <c r="F62" s="109"/>
      <c r="M62" s="94"/>
    </row>
    <row r="63" spans="1:13">
      <c r="A63" s="225"/>
      <c r="D63" s="711"/>
      <c r="F63" s="109"/>
      <c r="M63" s="94"/>
    </row>
    <row r="64" spans="1:13" ht="5.25" customHeight="1">
      <c r="A64" s="225"/>
      <c r="D64" s="712"/>
      <c r="F64" s="109"/>
      <c r="M64" s="94"/>
    </row>
    <row r="65" spans="1:13">
      <c r="A65" s="225"/>
      <c r="B65" s="839" t="s">
        <v>765</v>
      </c>
      <c r="D65" s="712"/>
      <c r="F65" s="109"/>
      <c r="M65" s="94"/>
    </row>
    <row r="66" spans="1:13">
      <c r="A66" s="289"/>
      <c r="B66" s="35"/>
      <c r="C66" s="713"/>
      <c r="D66" s="714"/>
      <c r="E66" s="714"/>
      <c r="F66" s="714"/>
      <c r="G66" s="714"/>
      <c r="H66" s="714"/>
      <c r="I66" s="714"/>
      <c r="J66" s="714"/>
      <c r="K66" s="714"/>
      <c r="L66" s="714"/>
      <c r="M66" s="95"/>
    </row>
    <row r="67" spans="1:13">
      <c r="D67" s="712"/>
      <c r="F67" s="109"/>
    </row>
    <row r="68" spans="1:13">
      <c r="D68" s="712"/>
      <c r="F68" s="109"/>
    </row>
    <row r="69" spans="1:13">
      <c r="D69" s="712"/>
      <c r="F69" s="109"/>
    </row>
    <row r="70" spans="1:13">
      <c r="D70" s="715"/>
      <c r="F70" s="109"/>
    </row>
    <row r="71" spans="1:13">
      <c r="D71" s="715"/>
      <c r="F71" s="109"/>
    </row>
    <row r="72" spans="1:13">
      <c r="D72" s="712"/>
    </row>
    <row r="73" spans="1:13">
      <c r="D73" s="712"/>
    </row>
    <row r="74" spans="1:13" ht="12.75" customHeight="1">
      <c r="D74" s="109"/>
    </row>
    <row r="76" spans="1:13">
      <c r="H76" s="252"/>
    </row>
    <row r="77" spans="1:13">
      <c r="H77" s="252"/>
    </row>
    <row r="79" spans="1:13">
      <c r="C79" s="297"/>
      <c r="D79" s="645"/>
      <c r="F79" s="645"/>
      <c r="H79" s="252"/>
    </row>
    <row r="80" spans="1:13">
      <c r="C80" s="297"/>
      <c r="D80" s="645"/>
      <c r="F80" s="645"/>
    </row>
    <row r="82" spans="3:6">
      <c r="C82" s="297"/>
      <c r="D82" s="297"/>
      <c r="E82" s="297"/>
      <c r="F82" s="297"/>
    </row>
  </sheetData>
  <mergeCells count="3">
    <mergeCell ref="D57:D58"/>
    <mergeCell ref="H57:H58"/>
    <mergeCell ref="F38:F42"/>
  </mergeCells>
  <conditionalFormatting sqref="H15">
    <cfRule type="cellIs" dxfId="6" priority="15" stopIfTrue="1" operator="equal">
      <formula>"yes"</formula>
    </cfRule>
  </conditionalFormatting>
  <conditionalFormatting sqref="H17">
    <cfRule type="cellIs" dxfId="5" priority="14" stopIfTrue="1" operator="equal">
      <formula>"yes"</formula>
    </cfRule>
  </conditionalFormatting>
  <conditionalFormatting sqref="H19">
    <cfRule type="cellIs" dxfId="4" priority="9" stopIfTrue="1" operator="equal">
      <formula>"yes"</formula>
    </cfRule>
  </conditionalFormatting>
  <conditionalFormatting sqref="H23:H24">
    <cfRule type="cellIs" dxfId="3" priority="12" stopIfTrue="1" operator="equal">
      <formula>"yes"</formula>
    </cfRule>
  </conditionalFormatting>
  <conditionalFormatting sqref="H29:H48">
    <cfRule type="cellIs" dxfId="2" priority="5" stopIfTrue="1" operator="equal">
      <formula>"yes"</formula>
    </cfRule>
  </conditionalFormatting>
  <conditionalFormatting sqref="H50:H54">
    <cfRule type="cellIs" dxfId="1" priority="7" stopIfTrue="1" operator="equal">
      <formula>"yes"</formula>
    </cfRule>
  </conditionalFormatting>
  <conditionalFormatting sqref="H56">
    <cfRule type="cellIs" dxfId="0" priority="1" stopIfTrue="1" operator="equal">
      <formula>"yes"</formula>
    </cfRule>
  </conditionalFormatting>
  <pageMargins left="0.70866141732283472" right="0.70866141732283472" top="0.78740157480314965" bottom="0.78740157480314965" header="0.31496062992125984" footer="0.31496062992125984"/>
  <pageSetup paperSize="9" scale="54" orientation="landscape" r:id="rId1"/>
  <headerFooter>
    <oddFooter>&amp;L&amp;"Frutiger 57Cn,Standard"&amp;8
Santander Consumer Bank AG
Santander-Platz 1
41061 Mönchengladbach</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Daten</vt:lpstr>
      <vt:lpstr>calc_data</vt:lpstr>
      <vt:lpstr>delinquency</vt:lpstr>
      <vt:lpstr>default</vt:lpstr>
      <vt:lpstr>portfolio</vt:lpstr>
      <vt:lpstr>rating</vt:lpstr>
      <vt:lpstr>Assets_Daten</vt:lpstr>
      <vt:lpstr>calc_data</vt:lpstr>
      <vt:lpstr>calcdata</vt:lpstr>
      <vt:lpstr>Counterparties</vt:lpstr>
      <vt:lpstr>daten</vt:lpstr>
      <vt:lpstr>default</vt:lpstr>
      <vt:lpstr>defaults</vt:lpstr>
      <vt:lpstr>delinquencies</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vt:lpstr>
      <vt:lpstr>rating</vt:lpstr>
      <vt:lpstr>ratings</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2023-11-21T13:30:19Z</dcterms:created>
  <dcterms:modified xsi:type="dcterms:W3CDTF">2025-09-09T12:31:01Z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2023-11-21T13:30:30Z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9d0053a2-7bad-4af8-b7bc-2dec7eca0b13</vt:lpwstr>
  </property>
  <property fmtid="{D5CDD505-2E9C-101B-9397-08002B2CF9AE}" pid="8" name="MSIP_Label_0c2abd79-57a9-4473-8700-c843f76a1e37_ContentBits">
    <vt:lpwstr>0</vt:lpwstr>
  </property>
</Properties>
</file>