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F1CCF743-DBCB-4C48-BE13-4A659B746897}"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calc_data!$A$1:$H$232</definedName>
    <definedName name="calcdata">calc_data!$B:$E</definedName>
    <definedName name="Counterparties">'21. Counterparties'!$B$2</definedName>
    <definedName name="daten">Daten!$A$1:$D$343</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Costs'!$A$1:$T$70</definedName>
    <definedName name="_xlnm.Print_Area" localSheetId="4">'2. Reserve Accounts'!$A$1:$K$46</definedName>
    <definedName name="_xlnm.Print_Area" localSheetId="31">'20. Retention'!$A$1:$K$24</definedName>
    <definedName name="_xlnm.Print_Area" localSheetId="32">'21. Counterparties'!$A$1:$P$82</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portfolio!$A$1:$G$9</definedName>
    <definedName name="portfolio_p.p">portfolio!$B:$G</definedName>
    <definedName name="rating">rating!$A$1:$S$19</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82" i="78"/>
  <c r="I68" i="78"/>
  <c r="H68" i="78"/>
  <c r="G68" i="78"/>
  <c r="F68" i="78"/>
  <c r="E68" i="78"/>
  <c r="D68" i="78"/>
  <c r="I60" i="78"/>
  <c r="H60" i="78"/>
  <c r="G60" i="78"/>
  <c r="F60" i="78"/>
  <c r="E60" i="78"/>
  <c r="D60" i="78"/>
  <c r="I55" i="78"/>
  <c r="H55" i="78"/>
  <c r="G55" i="78"/>
  <c r="F55" i="78"/>
  <c r="E55" i="78"/>
  <c r="D55" i="78"/>
  <c r="I50" i="78"/>
  <c r="H50" i="78"/>
  <c r="G50" i="78"/>
  <c r="F50" i="78"/>
  <c r="E50" i="78"/>
  <c r="D50"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8" i="83"/>
  <c r="D68" i="83" s="1"/>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Q63" i="83"/>
  <c r="O63" i="83"/>
  <c r="M63" i="83"/>
  <c r="K63" i="83"/>
  <c r="I63" i="83"/>
  <c r="G63" i="83"/>
  <c r="E63" i="83"/>
  <c r="Q62" i="83"/>
  <c r="O62" i="83"/>
  <c r="N45" i="84" s="1"/>
  <c r="M62" i="83"/>
  <c r="L45" i="84" s="1"/>
  <c r="K62" i="83"/>
  <c r="J45" i="84" s="1"/>
  <c r="I62" i="83"/>
  <c r="H45" i="84" s="1"/>
  <c r="G62" i="83"/>
  <c r="F45" i="84" s="1"/>
  <c r="E62" i="83"/>
  <c r="D45" i="84" s="1"/>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1" i="69"/>
  <c r="I15" i="69" s="1"/>
  <c r="H20" i="69"/>
  <c r="E20" i="69"/>
  <c r="D20" i="69"/>
  <c r="I19" i="69"/>
  <c r="H19" i="69"/>
  <c r="F19" i="69"/>
  <c r="E19" i="69"/>
  <c r="D19" i="69"/>
  <c r="H18" i="69"/>
  <c r="D18" i="69"/>
  <c r="H17" i="69"/>
  <c r="F17" i="69" s="1"/>
  <c r="E17" i="69"/>
  <c r="D17" i="69"/>
  <c r="D21" i="69" s="1"/>
  <c r="H16" i="69"/>
  <c r="I16" i="69" s="1"/>
  <c r="D16" i="69"/>
  <c r="H15" i="69"/>
  <c r="F15" i="69"/>
  <c r="E15" i="69"/>
  <c r="D15" i="69"/>
  <c r="H14" i="69"/>
  <c r="E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G30" i="50" s="1"/>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3" i="46"/>
  <c r="G22" i="46"/>
  <c r="E22" i="46"/>
  <c r="G21" i="46"/>
  <c r="E21" i="46"/>
  <c r="G15" i="46"/>
  <c r="E15" i="46"/>
  <c r="E16" i="46" s="1"/>
  <c r="F14" i="46" s="1"/>
  <c r="G14" i="46"/>
  <c r="E14" i="46"/>
  <c r="G7" i="46"/>
  <c r="E7" i="46"/>
  <c r="D7" i="46"/>
  <c r="I6" i="46"/>
  <c r="G6" i="46"/>
  <c r="E6" i="46"/>
  <c r="D6" i="46"/>
  <c r="D5" i="46"/>
  <c r="D4" i="46"/>
  <c r="D3" i="46"/>
  <c r="B3" i="46"/>
  <c r="D2" i="46"/>
  <c r="B2" i="46"/>
  <c r="E16" i="44"/>
  <c r="F15" i="44" s="1"/>
  <c r="G15" i="44"/>
  <c r="E15" i="44"/>
  <c r="G14" i="44"/>
  <c r="E14" i="44"/>
  <c r="G7" i="44"/>
  <c r="E7" i="44"/>
  <c r="D7" i="44"/>
  <c r="I6" i="44"/>
  <c r="G6" i="44"/>
  <c r="E6" i="44"/>
  <c r="D6" i="44"/>
  <c r="D5" i="44"/>
  <c r="D4" i="44"/>
  <c r="D3" i="44"/>
  <c r="B3" i="44"/>
  <c r="D2" i="44"/>
  <c r="B2" i="44"/>
  <c r="G16" i="43"/>
  <c r="G15" i="43"/>
  <c r="E15" i="43"/>
  <c r="H14"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E18" i="41"/>
  <c r="F17" i="41"/>
  <c r="G17" i="41" s="1"/>
  <c r="E17" i="41"/>
  <c r="H17" i="41" s="1"/>
  <c r="H16" i="41"/>
  <c r="H15" i="41"/>
  <c r="F15" i="41"/>
  <c r="G15" i="41" s="1"/>
  <c r="E15" i="41"/>
  <c r="E16" i="41" s="1"/>
  <c r="F16" i="41" s="1"/>
  <c r="G16" i="41" s="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N47" i="84" s="1"/>
  <c r="L46" i="84"/>
  <c r="L47" i="84" s="1"/>
  <c r="J46" i="84"/>
  <c r="H46" i="84"/>
  <c r="F46" i="84"/>
  <c r="D46" i="84"/>
  <c r="N42" i="84"/>
  <c r="C40" i="84"/>
  <c r="C38" i="84"/>
  <c r="N31" i="84"/>
  <c r="L31" i="84"/>
  <c r="L32" i="84" s="1"/>
  <c r="L43" i="84" s="1"/>
  <c r="J31" i="84"/>
  <c r="H31" i="84"/>
  <c r="F31" i="84"/>
  <c r="F32" i="84" s="1"/>
  <c r="F43" i="84" s="1"/>
  <c r="D31" i="84"/>
  <c r="C30" i="84"/>
  <c r="C29" i="84"/>
  <c r="N27" i="84"/>
  <c r="N41" i="84" s="1"/>
  <c r="L27" i="84"/>
  <c r="J27" i="84"/>
  <c r="H27" i="84"/>
  <c r="F27" i="84"/>
  <c r="D27" i="84"/>
  <c r="N24" i="84"/>
  <c r="D24" i="84"/>
  <c r="N23" i="84"/>
  <c r="L23" i="84"/>
  <c r="L24" i="84" s="1"/>
  <c r="J23" i="84"/>
  <c r="J24" i="84" s="1"/>
  <c r="H23" i="84"/>
  <c r="H24" i="84" s="1"/>
  <c r="F23" i="84"/>
  <c r="F24" i="84" s="1"/>
  <c r="C22" i="84"/>
  <c r="N21" i="84"/>
  <c r="L21" i="84"/>
  <c r="J21" i="84"/>
  <c r="H21" i="84"/>
  <c r="F21" i="84"/>
  <c r="D21" i="84"/>
  <c r="J17" i="84"/>
  <c r="F17" i="84"/>
  <c r="D17" i="84"/>
  <c r="G7" i="84"/>
  <c r="I6" i="84"/>
  <c r="G6" i="84"/>
  <c r="B3" i="84"/>
  <c r="B2" i="84"/>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43" i="85" s="1"/>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B3" i="70"/>
  <c r="B2" i="70"/>
  <c r="F6" i="56"/>
  <c r="F6" i="92" s="1"/>
  <c r="F5" i="56"/>
  <c r="F5" i="92" s="1"/>
  <c r="F4" i="56"/>
  <c r="F4" i="86" s="1"/>
  <c r="F3" i="56"/>
  <c r="F3" i="47" s="1"/>
  <c r="F2" i="56"/>
  <c r="F2" i="87" s="1"/>
  <c r="F6" i="86" l="1"/>
  <c r="F22" i="87"/>
  <c r="J33" i="84"/>
  <c r="L33" i="84"/>
  <c r="L35" i="84" s="1"/>
  <c r="F7" i="56"/>
  <c r="G7" i="78" s="1"/>
  <c r="F33" i="84"/>
  <c r="F52" i="84" s="1"/>
  <c r="F4" i="57"/>
  <c r="F6" i="87"/>
  <c r="F34" i="85"/>
  <c r="H34" i="85" s="1"/>
  <c r="F47" i="84"/>
  <c r="D67" i="83"/>
  <c r="F3" i="84"/>
  <c r="F2" i="70"/>
  <c r="F5" i="70"/>
  <c r="F41" i="84"/>
  <c r="F44" i="84" s="1"/>
  <c r="D63" i="83"/>
  <c r="F6" i="70"/>
  <c r="F3" i="57"/>
  <c r="F4" i="87"/>
  <c r="D32" i="84"/>
  <c r="D43" i="84" s="1"/>
  <c r="L41" i="84"/>
  <c r="L44" i="84" s="1"/>
  <c r="F2" i="37"/>
  <c r="F5" i="41"/>
  <c r="F5" i="42"/>
  <c r="F3" i="64"/>
  <c r="F2" i="91"/>
  <c r="D33" i="84"/>
  <c r="F2" i="92"/>
  <c r="F2" i="84"/>
  <c r="D64" i="83"/>
  <c r="D66" i="83"/>
  <c r="G101" i="86"/>
  <c r="E100" i="86"/>
  <c r="C99" i="86"/>
  <c r="K97" i="86"/>
  <c r="I96" i="86"/>
  <c r="G95" i="86"/>
  <c r="E94" i="86"/>
  <c r="C93" i="86"/>
  <c r="K91" i="86"/>
  <c r="I90" i="86"/>
  <c r="G89" i="86"/>
  <c r="E88" i="86"/>
  <c r="C87" i="86"/>
  <c r="K85" i="86"/>
  <c r="I84" i="86"/>
  <c r="G83" i="86"/>
  <c r="E82" i="86"/>
  <c r="C81" i="86"/>
  <c r="K79" i="86"/>
  <c r="I78" i="86"/>
  <c r="G77" i="86"/>
  <c r="E76" i="86"/>
  <c r="C75" i="86"/>
  <c r="K73" i="86"/>
  <c r="I72" i="86"/>
  <c r="G71" i="86"/>
  <c r="E70" i="86"/>
  <c r="C69" i="86"/>
  <c r="K67" i="86"/>
  <c r="I66" i="86"/>
  <c r="G65" i="86"/>
  <c r="E64" i="86"/>
  <c r="C63" i="86"/>
  <c r="K61" i="86"/>
  <c r="I60" i="86"/>
  <c r="G59" i="86"/>
  <c r="E58" i="86"/>
  <c r="C57" i="86"/>
  <c r="K55" i="86"/>
  <c r="I54" i="86"/>
  <c r="G53" i="86"/>
  <c r="E52" i="86"/>
  <c r="C101" i="86"/>
  <c r="J99" i="86"/>
  <c r="G98" i="86"/>
  <c r="D97" i="86"/>
  <c r="K95" i="86"/>
  <c r="H94" i="86"/>
  <c r="E93" i="86"/>
  <c r="L91" i="86"/>
  <c r="H90" i="86"/>
  <c r="E89" i="86"/>
  <c r="L87" i="86"/>
  <c r="I86" i="86"/>
  <c r="F85" i="86"/>
  <c r="C84" i="86"/>
  <c r="J82" i="86"/>
  <c r="G81" i="86"/>
  <c r="D80" i="86"/>
  <c r="K78" i="86"/>
  <c r="H77" i="86"/>
  <c r="D76" i="86"/>
  <c r="K74" i="86"/>
  <c r="H73" i="86"/>
  <c r="E72" i="86"/>
  <c r="L70" i="86"/>
  <c r="I69" i="86"/>
  <c r="F68" i="86"/>
  <c r="C67" i="86"/>
  <c r="J65" i="86"/>
  <c r="G64" i="86"/>
  <c r="D63" i="86"/>
  <c r="J61" i="86"/>
  <c r="G60" i="86"/>
  <c r="D59" i="86"/>
  <c r="K57" i="86"/>
  <c r="H56" i="86"/>
  <c r="E55" i="86"/>
  <c r="L53" i="86"/>
  <c r="I52" i="86"/>
  <c r="F51" i="86"/>
  <c r="D50" i="86"/>
  <c r="L48" i="86"/>
  <c r="J47" i="86"/>
  <c r="H46" i="86"/>
  <c r="F45" i="86"/>
  <c r="D44" i="86"/>
  <c r="L42" i="86"/>
  <c r="J41" i="86"/>
  <c r="H40" i="86"/>
  <c r="F39" i="86"/>
  <c r="D38" i="86"/>
  <c r="L36" i="86"/>
  <c r="J35" i="86"/>
  <c r="H34" i="86"/>
  <c r="F33" i="86"/>
  <c r="D32" i="86"/>
  <c r="L30" i="86"/>
  <c r="F27" i="86"/>
  <c r="D26" i="86"/>
  <c r="E101" i="86"/>
  <c r="K99" i="86"/>
  <c r="F98" i="86"/>
  <c r="L96" i="86"/>
  <c r="H95" i="86"/>
  <c r="C94" i="86"/>
  <c r="I92" i="86"/>
  <c r="E91" i="86"/>
  <c r="K89" i="86"/>
  <c r="G88" i="86"/>
  <c r="L86" i="86"/>
  <c r="H85" i="86"/>
  <c r="D84" i="86"/>
  <c r="I82" i="86"/>
  <c r="E81" i="86"/>
  <c r="J79" i="86"/>
  <c r="F78" i="86"/>
  <c r="L76" i="86"/>
  <c r="H75" i="86"/>
  <c r="D74" i="86"/>
  <c r="J72" i="86"/>
  <c r="E71" i="86"/>
  <c r="K69" i="86"/>
  <c r="G68" i="86"/>
  <c r="L66" i="86"/>
  <c r="H65" i="86"/>
  <c r="C64" i="86"/>
  <c r="I62" i="86"/>
  <c r="E61" i="86"/>
  <c r="K59" i="86"/>
  <c r="G58" i="86"/>
  <c r="L56" i="86"/>
  <c r="H55" i="86"/>
  <c r="D54" i="86"/>
  <c r="J52" i="86"/>
  <c r="E51" i="86"/>
  <c r="L49" i="86"/>
  <c r="I48" i="86"/>
  <c r="F47" i="86"/>
  <c r="C46" i="86"/>
  <c r="J44" i="86"/>
  <c r="G43" i="86"/>
  <c r="D42" i="86"/>
  <c r="K40" i="86"/>
  <c r="H39" i="86"/>
  <c r="E38" i="86"/>
  <c r="K36" i="86"/>
  <c r="H35" i="86"/>
  <c r="E34" i="86"/>
  <c r="L32" i="86"/>
  <c r="I31" i="86"/>
  <c r="F30" i="86"/>
  <c r="C29" i="86"/>
  <c r="G26" i="86"/>
  <c r="D25" i="86"/>
  <c r="G22" i="86"/>
  <c r="L100" i="86"/>
  <c r="G99" i="86"/>
  <c r="L97" i="86"/>
  <c r="F96" i="86"/>
  <c r="K94" i="86"/>
  <c r="F93" i="86"/>
  <c r="I91" i="86"/>
  <c r="D90" i="86"/>
  <c r="I88" i="86"/>
  <c r="D87" i="86"/>
  <c r="G85" i="86"/>
  <c r="K83" i="86"/>
  <c r="F82" i="86"/>
  <c r="J80" i="86"/>
  <c r="E79" i="86"/>
  <c r="J77" i="86"/>
  <c r="C76" i="86"/>
  <c r="H74" i="86"/>
  <c r="C73" i="86"/>
  <c r="H71" i="86"/>
  <c r="L69" i="86"/>
  <c r="E68" i="86"/>
  <c r="J66" i="86"/>
  <c r="D65" i="86"/>
  <c r="I63" i="86"/>
  <c r="D62" i="86"/>
  <c r="H60" i="86"/>
  <c r="L58" i="86"/>
  <c r="G57" i="86"/>
  <c r="L55" i="86"/>
  <c r="F54" i="86"/>
  <c r="K52" i="86"/>
  <c r="D51" i="86"/>
  <c r="J49" i="86"/>
  <c r="F48" i="86"/>
  <c r="L46" i="86"/>
  <c r="H45" i="86"/>
  <c r="C44" i="86"/>
  <c r="I42" i="86"/>
  <c r="E41" i="86"/>
  <c r="K39" i="86"/>
  <c r="G38" i="86"/>
  <c r="C37" i="86"/>
  <c r="G35" i="86"/>
  <c r="C34" i="86"/>
  <c r="I32" i="86"/>
  <c r="E31" i="86"/>
  <c r="F28" i="86"/>
  <c r="D24" i="86"/>
  <c r="K100" i="86"/>
  <c r="E96" i="86"/>
  <c r="D93" i="86"/>
  <c r="H91" i="86"/>
  <c r="C90" i="86"/>
  <c r="K86" i="86"/>
  <c r="E85" i="86"/>
  <c r="J83" i="86"/>
  <c r="D82" i="86"/>
  <c r="D79" i="86"/>
  <c r="I77" i="86"/>
  <c r="L75" i="86"/>
  <c r="G74" i="86"/>
  <c r="L72" i="86"/>
  <c r="J69" i="86"/>
  <c r="D68" i="86"/>
  <c r="H66" i="86"/>
  <c r="C65" i="86"/>
  <c r="C62" i="86"/>
  <c r="F60" i="86"/>
  <c r="K58" i="86"/>
  <c r="F57" i="86"/>
  <c r="J55" i="86"/>
  <c r="E54" i="86"/>
  <c r="H52" i="86"/>
  <c r="I49" i="86"/>
  <c r="E48" i="86"/>
  <c r="K46" i="86"/>
  <c r="G45" i="86"/>
  <c r="L43" i="86"/>
  <c r="H42" i="86"/>
  <c r="D41" i="86"/>
  <c r="J39" i="86"/>
  <c r="F38" i="86"/>
  <c r="F35" i="86"/>
  <c r="L33" i="86"/>
  <c r="H32" i="86"/>
  <c r="D31" i="86"/>
  <c r="E28" i="86"/>
  <c r="G25" i="86"/>
  <c r="L25" i="86" s="1"/>
  <c r="C24" i="86"/>
  <c r="F99" i="86"/>
  <c r="J97" i="86"/>
  <c r="J94" i="86"/>
  <c r="H88" i="86"/>
  <c r="I80" i="86"/>
  <c r="F71" i="86"/>
  <c r="H63" i="86"/>
  <c r="C51" i="86"/>
  <c r="J36" i="86"/>
  <c r="H100" i="86"/>
  <c r="L98" i="86"/>
  <c r="G97" i="86"/>
  <c r="L95" i="86"/>
  <c r="F94" i="86"/>
  <c r="J92" i="86"/>
  <c r="J101" i="86"/>
  <c r="I99" i="86"/>
  <c r="H97" i="86"/>
  <c r="F95" i="86"/>
  <c r="H93" i="86"/>
  <c r="F91" i="86"/>
  <c r="H89" i="86"/>
  <c r="I87" i="86"/>
  <c r="L85" i="86"/>
  <c r="L83" i="86"/>
  <c r="L81" i="86"/>
  <c r="E80" i="86"/>
  <c r="E78" i="86"/>
  <c r="H76" i="86"/>
  <c r="I74" i="86"/>
  <c r="H72" i="86"/>
  <c r="J70" i="86"/>
  <c r="L68" i="86"/>
  <c r="E67" i="86"/>
  <c r="E65" i="86"/>
  <c r="F63" i="86"/>
  <c r="G61" i="86"/>
  <c r="I59" i="86"/>
  <c r="J57" i="86"/>
  <c r="C56" i="86"/>
  <c r="K53" i="86"/>
  <c r="C52" i="86"/>
  <c r="G50" i="86"/>
  <c r="J48" i="86"/>
  <c r="K101" i="86"/>
  <c r="H99" i="86"/>
  <c r="E97" i="86"/>
  <c r="C95" i="86"/>
  <c r="H92" i="86"/>
  <c r="J90" i="86"/>
  <c r="J88" i="86"/>
  <c r="G86" i="86"/>
  <c r="H84" i="86"/>
  <c r="H82" i="86"/>
  <c r="G80" i="86"/>
  <c r="G78" i="86"/>
  <c r="G76" i="86"/>
  <c r="E74" i="86"/>
  <c r="D72" i="86"/>
  <c r="F70" i="86"/>
  <c r="C68" i="86"/>
  <c r="D66" i="86"/>
  <c r="D64" i="86"/>
  <c r="E62" i="86"/>
  <c r="C60" i="86"/>
  <c r="C58" i="86"/>
  <c r="D56" i="86"/>
  <c r="J53" i="86"/>
  <c r="K51" i="86"/>
  <c r="C50" i="86"/>
  <c r="C48" i="86"/>
  <c r="F46" i="86"/>
  <c r="I44" i="86"/>
  <c r="C43" i="86"/>
  <c r="F41" i="86"/>
  <c r="G39" i="86"/>
  <c r="J37" i="86"/>
  <c r="D36" i="86"/>
  <c r="G34" i="86"/>
  <c r="J32" i="86"/>
  <c r="K30" i="86"/>
  <c r="E29" i="86"/>
  <c r="E24" i="86"/>
  <c r="E22" i="86"/>
  <c r="F101" i="86"/>
  <c r="J96" i="86"/>
  <c r="E92" i="86"/>
  <c r="E90" i="86"/>
  <c r="C88" i="86"/>
  <c r="D86" i="86"/>
  <c r="E84" i="86"/>
  <c r="K81" i="86"/>
  <c r="L79" i="86"/>
  <c r="L77" i="86"/>
  <c r="J75" i="86"/>
  <c r="K71" i="86"/>
  <c r="H69" i="86"/>
  <c r="I67" i="86"/>
  <c r="K65" i="86"/>
  <c r="H61" i="86"/>
  <c r="H59" i="86"/>
  <c r="F53" i="86"/>
  <c r="G49" i="86"/>
  <c r="L45" i="86"/>
  <c r="G42" i="86"/>
  <c r="G37" i="86"/>
  <c r="K33" i="86"/>
  <c r="F25" i="86"/>
  <c r="I101" i="86"/>
  <c r="E99" i="86"/>
  <c r="C97" i="86"/>
  <c r="L94" i="86"/>
  <c r="G92" i="86"/>
  <c r="G90" i="86"/>
  <c r="F88" i="86"/>
  <c r="F86" i="86"/>
  <c r="G84" i="86"/>
  <c r="G82" i="86"/>
  <c r="F80" i="86"/>
  <c r="D78" i="86"/>
  <c r="F76" i="86"/>
  <c r="C74" i="86"/>
  <c r="C72" i="86"/>
  <c r="D70" i="86"/>
  <c r="L67" i="86"/>
  <c r="C66" i="86"/>
  <c r="L63" i="86"/>
  <c r="L61" i="86"/>
  <c r="L59" i="86"/>
  <c r="L57" i="86"/>
  <c r="I55" i="86"/>
  <c r="I53" i="86"/>
  <c r="J51" i="86"/>
  <c r="K49" i="86"/>
  <c r="L47" i="86"/>
  <c r="E46" i="86"/>
  <c r="H44" i="86"/>
  <c r="K42" i="86"/>
  <c r="C41" i="86"/>
  <c r="E39" i="86"/>
  <c r="I37" i="86"/>
  <c r="C36" i="86"/>
  <c r="F34" i="86"/>
  <c r="G32" i="86"/>
  <c r="J30" i="86"/>
  <c r="D29" i="86"/>
  <c r="G27" i="86"/>
  <c r="D22" i="86"/>
  <c r="K98" i="86"/>
  <c r="H57" i="86"/>
  <c r="C39" i="86"/>
  <c r="H30" i="86"/>
  <c r="H101" i="86"/>
  <c r="D99" i="86"/>
  <c r="K96" i="86"/>
  <c r="I94" i="86"/>
  <c r="F92" i="86"/>
  <c r="F90" i="86"/>
  <c r="D88" i="86"/>
  <c r="E86" i="86"/>
  <c r="F84" i="86"/>
  <c r="C82" i="86"/>
  <c r="C80" i="86"/>
  <c r="C78" i="86"/>
  <c r="K75" i="86"/>
  <c r="L73" i="86"/>
  <c r="L71" i="86"/>
  <c r="C70" i="86"/>
  <c r="J67" i="86"/>
  <c r="L65" i="86"/>
  <c r="K63" i="86"/>
  <c r="I61" i="86"/>
  <c r="J59" i="86"/>
  <c r="I57" i="86"/>
  <c r="G55" i="86"/>
  <c r="H53" i="86"/>
  <c r="I51" i="86"/>
  <c r="H49" i="86"/>
  <c r="K47" i="86"/>
  <c r="D46" i="86"/>
  <c r="G44" i="86"/>
  <c r="J42" i="86"/>
  <c r="L40" i="86"/>
  <c r="D39" i="86"/>
  <c r="H37" i="86"/>
  <c r="L35" i="86"/>
  <c r="D34" i="86"/>
  <c r="F32" i="86"/>
  <c r="I30" i="86"/>
  <c r="E27" i="86"/>
  <c r="C22" i="86"/>
  <c r="L22" i="86" s="1"/>
  <c r="G94" i="86"/>
  <c r="J73" i="86"/>
  <c r="J63" i="86"/>
  <c r="F55" i="86"/>
  <c r="H51" i="86"/>
  <c r="I47" i="86"/>
  <c r="F44" i="86"/>
  <c r="J40" i="86"/>
  <c r="K35" i="86"/>
  <c r="E32" i="86"/>
  <c r="D27" i="86"/>
  <c r="J100" i="86"/>
  <c r="I98" i="86"/>
  <c r="G96" i="86"/>
  <c r="L93" i="86"/>
  <c r="C92" i="86"/>
  <c r="J89" i="86"/>
  <c r="J87" i="86"/>
  <c r="J85" i="86"/>
  <c r="H83" i="86"/>
  <c r="I81" i="86"/>
  <c r="H79" i="86"/>
  <c r="F77" i="86"/>
  <c r="G75" i="86"/>
  <c r="G73" i="86"/>
  <c r="I71" i="86"/>
  <c r="F69" i="86"/>
  <c r="G67" i="86"/>
  <c r="F65" i="86"/>
  <c r="E63" i="86"/>
  <c r="D61" i="86"/>
  <c r="E59" i="86"/>
  <c r="D57" i="86"/>
  <c r="C55" i="86"/>
  <c r="D53" i="86"/>
  <c r="L50" i="86"/>
  <c r="E49" i="86"/>
  <c r="G47" i="86"/>
  <c r="J45" i="86"/>
  <c r="K43" i="86"/>
  <c r="E42" i="86"/>
  <c r="G40" i="86"/>
  <c r="K38" i="86"/>
  <c r="E37" i="86"/>
  <c r="E35" i="86"/>
  <c r="I33" i="86"/>
  <c r="L31" i="86"/>
  <c r="E30" i="86"/>
  <c r="C25" i="86"/>
  <c r="F23" i="86"/>
  <c r="I100" i="86"/>
  <c r="D96" i="86"/>
  <c r="J91" i="86"/>
  <c r="H87" i="86"/>
  <c r="H81" i="86"/>
  <c r="E77" i="86"/>
  <c r="F75" i="86"/>
  <c r="F73" i="86"/>
  <c r="D71" i="86"/>
  <c r="F67" i="86"/>
  <c r="L64" i="86"/>
  <c r="C59" i="86"/>
  <c r="D49" i="86"/>
  <c r="J43" i="86"/>
  <c r="F40" i="86"/>
  <c r="J38" i="86"/>
  <c r="D35" i="86"/>
  <c r="K31" i="86"/>
  <c r="G28" i="86"/>
  <c r="E23" i="86"/>
  <c r="F89" i="86"/>
  <c r="D69" i="86"/>
  <c r="J56" i="86"/>
  <c r="D47" i="86"/>
  <c r="I43" i="86"/>
  <c r="L41" i="86"/>
  <c r="I38" i="86"/>
  <c r="G33" i="86"/>
  <c r="D28" i="86"/>
  <c r="D23" i="86"/>
  <c r="H98" i="86"/>
  <c r="K93" i="86"/>
  <c r="I89" i="86"/>
  <c r="I85" i="86"/>
  <c r="F83" i="86"/>
  <c r="G79" i="86"/>
  <c r="E69" i="86"/>
  <c r="L62" i="86"/>
  <c r="C61" i="86"/>
  <c r="K56" i="86"/>
  <c r="L54" i="86"/>
  <c r="C53" i="86"/>
  <c r="K50" i="86"/>
  <c r="E47" i="86"/>
  <c r="I45" i="86"/>
  <c r="C42" i="86"/>
  <c r="D37" i="86"/>
  <c r="H33" i="86"/>
  <c r="D30" i="86"/>
  <c r="G100" i="86"/>
  <c r="E98" i="86"/>
  <c r="C96" i="86"/>
  <c r="J93" i="86"/>
  <c r="G91" i="86"/>
  <c r="G87" i="86"/>
  <c r="D85" i="86"/>
  <c r="E83" i="86"/>
  <c r="F81" i="86"/>
  <c r="F79" i="86"/>
  <c r="D77" i="86"/>
  <c r="E75" i="86"/>
  <c r="E73" i="86"/>
  <c r="C71" i="86"/>
  <c r="D67" i="86"/>
  <c r="K64" i="86"/>
  <c r="K62" i="86"/>
  <c r="L60" i="86"/>
  <c r="J58" i="86"/>
  <c r="K54" i="86"/>
  <c r="L52" i="86"/>
  <c r="J50" i="86"/>
  <c r="C49" i="86"/>
  <c r="E45" i="86"/>
  <c r="E40" i="86"/>
  <c r="I36" i="86"/>
  <c r="C35" i="86"/>
  <c r="J31" i="86"/>
  <c r="C30" i="86"/>
  <c r="F97" i="86"/>
  <c r="D91" i="86"/>
  <c r="J86" i="86"/>
  <c r="J81" i="86"/>
  <c r="K76" i="86"/>
  <c r="F72" i="86"/>
  <c r="K66" i="86"/>
  <c r="G62" i="86"/>
  <c r="E57" i="86"/>
  <c r="F52" i="86"/>
  <c r="D48" i="86"/>
  <c r="H43" i="86"/>
  <c r="L39" i="86"/>
  <c r="I35" i="86"/>
  <c r="G31" i="86"/>
  <c r="C23" i="86"/>
  <c r="F100" i="86"/>
  <c r="L89" i="86"/>
  <c r="L84" i="86"/>
  <c r="D75" i="86"/>
  <c r="H70" i="86"/>
  <c r="J60" i="86"/>
  <c r="E56" i="86"/>
  <c r="I46" i="86"/>
  <c r="C38" i="86"/>
  <c r="I34" i="86"/>
  <c r="F87" i="86"/>
  <c r="J62" i="86"/>
  <c r="F36" i="86"/>
  <c r="C77" i="86"/>
  <c r="H96" i="86"/>
  <c r="C91" i="86"/>
  <c r="H86" i="86"/>
  <c r="D81" i="86"/>
  <c r="J76" i="86"/>
  <c r="J71" i="86"/>
  <c r="G66" i="86"/>
  <c r="F62" i="86"/>
  <c r="I56" i="86"/>
  <c r="D52" i="86"/>
  <c r="H47" i="86"/>
  <c r="F43" i="86"/>
  <c r="I39" i="86"/>
  <c r="L34" i="86"/>
  <c r="F31" i="86"/>
  <c r="C27" i="86"/>
  <c r="E95" i="86"/>
  <c r="I50" i="86"/>
  <c r="C98" i="86"/>
  <c r="L101" i="86"/>
  <c r="J95" i="86"/>
  <c r="L90" i="86"/>
  <c r="C86" i="86"/>
  <c r="L80" i="86"/>
  <c r="I76" i="86"/>
  <c r="K70" i="86"/>
  <c r="F66" i="86"/>
  <c r="F61" i="86"/>
  <c r="G56" i="86"/>
  <c r="L51" i="86"/>
  <c r="C47" i="86"/>
  <c r="E43" i="86"/>
  <c r="L38" i="86"/>
  <c r="K34" i="86"/>
  <c r="C31" i="86"/>
  <c r="F26" i="86"/>
  <c r="I65" i="86"/>
  <c r="C26" i="86"/>
  <c r="D101" i="86"/>
  <c r="I95" i="86"/>
  <c r="K90" i="86"/>
  <c r="C85" i="86"/>
  <c r="K80" i="86"/>
  <c r="I75" i="86"/>
  <c r="I70" i="86"/>
  <c r="E66" i="86"/>
  <c r="K60" i="86"/>
  <c r="F56" i="86"/>
  <c r="G51" i="86"/>
  <c r="J46" i="86"/>
  <c r="D43" i="86"/>
  <c r="H38" i="86"/>
  <c r="J34" i="86"/>
  <c r="G30" i="86"/>
  <c r="E26" i="86"/>
  <c r="J26" i="86" s="1"/>
  <c r="F22" i="86"/>
  <c r="H80" i="86"/>
  <c r="F42" i="86"/>
  <c r="K72" i="86"/>
  <c r="F24" i="86"/>
  <c r="G72" i="86"/>
  <c r="G23" i="86"/>
  <c r="D100" i="86"/>
  <c r="D95" i="86"/>
  <c r="D89" i="86"/>
  <c r="K84" i="86"/>
  <c r="I79" i="86"/>
  <c r="L74" i="86"/>
  <c r="G70" i="86"/>
  <c r="J64" i="86"/>
  <c r="E60" i="86"/>
  <c r="D55" i="86"/>
  <c r="H50" i="86"/>
  <c r="G46" i="86"/>
  <c r="K41" i="86"/>
  <c r="L37" i="86"/>
  <c r="J33" i="86"/>
  <c r="C100" i="86"/>
  <c r="D94" i="86"/>
  <c r="C89" i="86"/>
  <c r="J84" i="86"/>
  <c r="C79" i="86"/>
  <c r="J74" i="86"/>
  <c r="G69" i="86"/>
  <c r="I64" i="86"/>
  <c r="D60" i="86"/>
  <c r="J54" i="86"/>
  <c r="F50" i="86"/>
  <c r="K45" i="86"/>
  <c r="I41" i="86"/>
  <c r="K37" i="86"/>
  <c r="E33" i="86"/>
  <c r="G29" i="86"/>
  <c r="L29" i="86" s="1"/>
  <c r="E25" i="86"/>
  <c r="J25" i="86" s="1"/>
  <c r="L99" i="86"/>
  <c r="I93" i="86"/>
  <c r="L88" i="86"/>
  <c r="I83" i="86"/>
  <c r="L78" i="86"/>
  <c r="F74" i="86"/>
  <c r="K68" i="86"/>
  <c r="H64" i="86"/>
  <c r="F59" i="86"/>
  <c r="H54" i="86"/>
  <c r="E50" i="86"/>
  <c r="D45" i="86"/>
  <c r="H41" i="86"/>
  <c r="F37" i="86"/>
  <c r="D33" i="86"/>
  <c r="F29" i="86"/>
  <c r="K29" i="86" s="1"/>
  <c r="J98" i="86"/>
  <c r="G93" i="86"/>
  <c r="K88" i="86"/>
  <c r="D83" i="86"/>
  <c r="J78" i="86"/>
  <c r="I73" i="86"/>
  <c r="J68" i="86"/>
  <c r="F64" i="86"/>
  <c r="I58" i="86"/>
  <c r="G54" i="86"/>
  <c r="F49" i="86"/>
  <c r="C45" i="86"/>
  <c r="G41" i="86"/>
  <c r="H36" i="86"/>
  <c r="C33" i="86"/>
  <c r="D98" i="86"/>
  <c r="L92" i="86"/>
  <c r="K87" i="86"/>
  <c r="C83" i="86"/>
  <c r="H78" i="86"/>
  <c r="D73" i="86"/>
  <c r="I68" i="86"/>
  <c r="G63" i="86"/>
  <c r="H58" i="86"/>
  <c r="C54" i="86"/>
  <c r="K48" i="86"/>
  <c r="L44" i="86"/>
  <c r="I40" i="86"/>
  <c r="G36" i="86"/>
  <c r="K32" i="86"/>
  <c r="C28" i="86"/>
  <c r="K28" i="86" s="1"/>
  <c r="G24" i="86"/>
  <c r="L24" i="86" s="1"/>
  <c r="K92" i="86"/>
  <c r="L82" i="86"/>
  <c r="K77" i="86"/>
  <c r="H68" i="86"/>
  <c r="F58" i="86"/>
  <c r="E53" i="86"/>
  <c r="H48" i="86"/>
  <c r="K44" i="86"/>
  <c r="D40" i="86"/>
  <c r="C32" i="86"/>
  <c r="L27" i="86"/>
  <c r="I97" i="86"/>
  <c r="D92" i="86"/>
  <c r="E87" i="86"/>
  <c r="K82" i="86"/>
  <c r="H67" i="86"/>
  <c r="H62" i="86"/>
  <c r="D58" i="86"/>
  <c r="G52" i="86"/>
  <c r="G48" i="86"/>
  <c r="E44" i="86"/>
  <c r="C40" i="86"/>
  <c r="E36" i="86"/>
  <c r="H31" i="86"/>
  <c r="F16" i="46"/>
  <c r="H50" i="37"/>
  <c r="F41" i="37"/>
  <c r="F7" i="44"/>
  <c r="F7" i="85"/>
  <c r="F7" i="71"/>
  <c r="F7" i="61"/>
  <c r="F7" i="89"/>
  <c r="F7" i="66"/>
  <c r="F7" i="37"/>
  <c r="F7" i="49"/>
  <c r="F7" i="46"/>
  <c r="F7" i="92"/>
  <c r="F7" i="70"/>
  <c r="F7" i="86"/>
  <c r="H17" i="37"/>
  <c r="F61" i="37"/>
  <c r="H14" i="48"/>
  <c r="G42" i="48"/>
  <c r="H31" i="48" s="1"/>
  <c r="H45" i="37"/>
  <c r="E31" i="42"/>
  <c r="F4" i="43"/>
  <c r="G16" i="46"/>
  <c r="H15" i="46" s="1"/>
  <c r="H14" i="46"/>
  <c r="H16" i="46" s="1"/>
  <c r="H28" i="50"/>
  <c r="H20" i="50"/>
  <c r="H23" i="50"/>
  <c r="H19" i="50"/>
  <c r="H14" i="50"/>
  <c r="H22" i="50"/>
  <c r="H16" i="50"/>
  <c r="H25" i="50"/>
  <c r="F44" i="37"/>
  <c r="H41" i="37"/>
  <c r="G55" i="40"/>
  <c r="H33" i="40" s="1"/>
  <c r="F55" i="37"/>
  <c r="F3" i="79"/>
  <c r="F3" i="90"/>
  <c r="F3" i="43"/>
  <c r="F3" i="41"/>
  <c r="F3" i="85"/>
  <c r="H3" i="72"/>
  <c r="F3" i="50"/>
  <c r="F3" i="71"/>
  <c r="H3" i="82"/>
  <c r="F3" i="65"/>
  <c r="F3" i="40"/>
  <c r="F3" i="67"/>
  <c r="F3" i="61"/>
  <c r="F3" i="37"/>
  <c r="F3" i="48"/>
  <c r="F3" i="66"/>
  <c r="F3" i="63"/>
  <c r="G3" i="78"/>
  <c r="F3" i="46"/>
  <c r="F3" i="62"/>
  <c r="F3" i="87"/>
  <c r="F3" i="49"/>
  <c r="H6" i="56"/>
  <c r="F3" i="42"/>
  <c r="F3" i="69"/>
  <c r="F3" i="44"/>
  <c r="F3" i="83"/>
  <c r="F3" i="91"/>
  <c r="F3" i="86"/>
  <c r="F3" i="89"/>
  <c r="F3" i="92"/>
  <c r="F3" i="70"/>
  <c r="H29" i="42"/>
  <c r="F4" i="65"/>
  <c r="F4" i="44"/>
  <c r="H4" i="72"/>
  <c r="F4" i="71"/>
  <c r="F4" i="89"/>
  <c r="F4" i="64"/>
  <c r="F4" i="61"/>
  <c r="H4" i="82"/>
  <c r="F4" i="83"/>
  <c r="F4" i="69"/>
  <c r="F4" i="46"/>
  <c r="F4" i="48"/>
  <c r="F4" i="90"/>
  <c r="F4" i="63"/>
  <c r="F4" i="67"/>
  <c r="G4" i="78"/>
  <c r="F4" i="42"/>
  <c r="F4" i="79"/>
  <c r="F4" i="85"/>
  <c r="F4" i="49"/>
  <c r="F4" i="37"/>
  <c r="F4" i="66"/>
  <c r="F4" i="41"/>
  <c r="F4" i="47"/>
  <c r="F4" i="62"/>
  <c r="F4" i="40"/>
  <c r="F4" i="50"/>
  <c r="F4" i="91"/>
  <c r="F4" i="84"/>
  <c r="F4" i="92"/>
  <c r="F4" i="70"/>
  <c r="F22" i="37"/>
  <c r="H22" i="37"/>
  <c r="H27" i="37"/>
  <c r="H54" i="37"/>
  <c r="F2" i="48"/>
  <c r="F2" i="40"/>
  <c r="F2" i="83"/>
  <c r="F2" i="79"/>
  <c r="F2" i="90"/>
  <c r="F2" i="65"/>
  <c r="F2" i="44"/>
  <c r="G2" i="78"/>
  <c r="F2" i="46"/>
  <c r="F2" i="43"/>
  <c r="F2" i="64"/>
  <c r="H2" i="82"/>
  <c r="F2" i="89"/>
  <c r="F2" i="41"/>
  <c r="H2" i="72"/>
  <c r="F2" i="71"/>
  <c r="F2" i="67"/>
  <c r="F2" i="49"/>
  <c r="F2" i="61"/>
  <c r="F2" i="57"/>
  <c r="F2" i="86"/>
  <c r="F2" i="50"/>
  <c r="F2" i="47"/>
  <c r="F2" i="63"/>
  <c r="F2" i="85"/>
  <c r="F2" i="42"/>
  <c r="F2" i="62"/>
  <c r="H47" i="84"/>
  <c r="E29" i="49"/>
  <c r="F21" i="49" s="1"/>
  <c r="F2" i="66"/>
  <c r="F2" i="69"/>
  <c r="H40" i="40"/>
  <c r="H26" i="42"/>
  <c r="F20" i="49"/>
  <c r="H5" i="72"/>
  <c r="F5" i="49"/>
  <c r="F5" i="46"/>
  <c r="F5" i="71"/>
  <c r="G5" i="78"/>
  <c r="F5" i="89"/>
  <c r="H5" i="82"/>
  <c r="F5" i="48"/>
  <c r="F5" i="40"/>
  <c r="F5" i="83"/>
  <c r="F5" i="79"/>
  <c r="F5" i="47"/>
  <c r="F5" i="44"/>
  <c r="F5" i="66"/>
  <c r="F5" i="65"/>
  <c r="F5" i="90"/>
  <c r="F5" i="50"/>
  <c r="F5" i="62"/>
  <c r="F5" i="64"/>
  <c r="F5" i="69"/>
  <c r="F5" i="91"/>
  <c r="F5" i="37"/>
  <c r="F5" i="61"/>
  <c r="F5" i="84"/>
  <c r="F5" i="85"/>
  <c r="F5" i="43"/>
  <c r="F5" i="57"/>
  <c r="F5" i="67"/>
  <c r="F5" i="63"/>
  <c r="F5" i="86"/>
  <c r="F5" i="87"/>
  <c r="J41" i="84"/>
  <c r="F15" i="37"/>
  <c r="F54" i="37"/>
  <c r="H64" i="37"/>
  <c r="H22" i="46"/>
  <c r="H21" i="46"/>
  <c r="G6" i="78"/>
  <c r="F6" i="64"/>
  <c r="F6" i="61"/>
  <c r="F6" i="89"/>
  <c r="F6" i="69"/>
  <c r="F6" i="90"/>
  <c r="F6" i="43"/>
  <c r="F6" i="41"/>
  <c r="H6" i="82"/>
  <c r="F6" i="71"/>
  <c r="F6" i="79"/>
  <c r="F6" i="63"/>
  <c r="F6" i="84"/>
  <c r="H6" i="72"/>
  <c r="F6" i="50"/>
  <c r="F6" i="44"/>
  <c r="F6" i="42"/>
  <c r="F6" i="91"/>
  <c r="F6" i="62"/>
  <c r="F6" i="40"/>
  <c r="F6" i="83"/>
  <c r="F6" i="49"/>
  <c r="F6" i="48"/>
  <c r="F6" i="85"/>
  <c r="F6" i="57"/>
  <c r="H7" i="56"/>
  <c r="F6" i="65"/>
  <c r="F6" i="46"/>
  <c r="F6" i="47"/>
  <c r="F6" i="67"/>
  <c r="F6" i="66"/>
  <c r="D52" i="84"/>
  <c r="D35" i="84"/>
  <c r="D47" i="84"/>
  <c r="G65" i="37"/>
  <c r="H14" i="37" s="1"/>
  <c r="H18" i="48"/>
  <c r="J35" i="84"/>
  <c r="F6" i="37"/>
  <c r="F31" i="37"/>
  <c r="H35" i="48"/>
  <c r="H22" i="40"/>
  <c r="E23" i="46"/>
  <c r="F22" i="46" s="1"/>
  <c r="F21" i="46"/>
  <c r="F23" i="46" s="1"/>
  <c r="H20" i="48"/>
  <c r="F17" i="49"/>
  <c r="N17" i="84"/>
  <c r="L17" i="84"/>
  <c r="D43" i="85"/>
  <c r="H43" i="85" s="1"/>
  <c r="H17" i="84"/>
  <c r="F42" i="37"/>
  <c r="H15" i="48"/>
  <c r="E30" i="50"/>
  <c r="F16" i="50" s="1"/>
  <c r="F21" i="50"/>
  <c r="E16" i="43"/>
  <c r="F15" i="43" s="1"/>
  <c r="F14" i="43"/>
  <c r="F16" i="43" s="1"/>
  <c r="F51" i="37"/>
  <c r="H55" i="37"/>
  <c r="H18" i="40"/>
  <c r="H31" i="40"/>
  <c r="G28" i="47"/>
  <c r="H16" i="47" s="1"/>
  <c r="H26" i="48"/>
  <c r="H36" i="48"/>
  <c r="F16" i="49"/>
  <c r="D41" i="84"/>
  <c r="D44" i="84" s="1"/>
  <c r="C27" i="84"/>
  <c r="J47" i="84"/>
  <c r="E65" i="37"/>
  <c r="F37" i="37" s="1"/>
  <c r="H19" i="40"/>
  <c r="H29" i="50"/>
  <c r="E21" i="69"/>
  <c r="N32" i="84"/>
  <c r="N43" i="84" s="1"/>
  <c r="N44" i="84" s="1"/>
  <c r="N33" i="84"/>
  <c r="E19" i="41"/>
  <c r="H18" i="41"/>
  <c r="H22" i="48"/>
  <c r="F35" i="84"/>
  <c r="D21" i="57"/>
  <c r="H33" i="84"/>
  <c r="H41" i="84"/>
  <c r="H46" i="40"/>
  <c r="F18" i="41"/>
  <c r="G18" i="41" s="1"/>
  <c r="F27" i="49"/>
  <c r="F27" i="42"/>
  <c r="H26" i="50"/>
  <c r="F15" i="46"/>
  <c r="H17" i="50"/>
  <c r="H32" i="84"/>
  <c r="H43" i="84" s="1"/>
  <c r="F21" i="37"/>
  <c r="H35" i="37"/>
  <c r="H29" i="40"/>
  <c r="J32" i="84"/>
  <c r="J43" i="84" s="1"/>
  <c r="F36" i="37"/>
  <c r="F40" i="37"/>
  <c r="H60" i="37"/>
  <c r="E55" i="40"/>
  <c r="F44" i="40" s="1"/>
  <c r="H17" i="40"/>
  <c r="G16" i="44"/>
  <c r="H14" i="44" s="1"/>
  <c r="H18" i="50"/>
  <c r="F18" i="37"/>
  <c r="H39" i="37"/>
  <c r="F14" i="47"/>
  <c r="E28" i="47"/>
  <c r="F23" i="47" s="1"/>
  <c r="H19" i="48"/>
  <c r="E16" i="69"/>
  <c r="E18" i="69"/>
  <c r="H28" i="48"/>
  <c r="H15" i="50"/>
  <c r="H27" i="50"/>
  <c r="I14" i="69"/>
  <c r="F14" i="69"/>
  <c r="F60" i="37"/>
  <c r="H23" i="47"/>
  <c r="I17" i="69"/>
  <c r="H25" i="48"/>
  <c r="G29" i="49"/>
  <c r="H52" i="37"/>
  <c r="H34" i="40"/>
  <c r="H23" i="42"/>
  <c r="F14" i="44"/>
  <c r="F16" i="44" s="1"/>
  <c r="H16" i="48"/>
  <c r="D65" i="83"/>
  <c r="H40" i="48"/>
  <c r="H24" i="50"/>
  <c r="I20" i="69"/>
  <c r="D62" i="83"/>
  <c r="H29" i="37"/>
  <c r="H28" i="40"/>
  <c r="H17" i="42"/>
  <c r="E42" i="48"/>
  <c r="F22" i="48" s="1"/>
  <c r="H34" i="48"/>
  <c r="H21" i="50"/>
  <c r="I18" i="69"/>
  <c r="F23" i="37"/>
  <c r="F30" i="37"/>
  <c r="F57" i="37"/>
  <c r="H49" i="40"/>
  <c r="H14" i="42"/>
  <c r="G31" i="42"/>
  <c r="F33" i="37"/>
  <c r="H16" i="40"/>
  <c r="H52" i="40"/>
  <c r="H15" i="43"/>
  <c r="H16" i="43" s="1"/>
  <c r="F17" i="47"/>
  <c r="H37" i="48"/>
  <c r="F16" i="69"/>
  <c r="F18" i="69"/>
  <c r="F20" i="69"/>
  <c r="F7" i="90" l="1"/>
  <c r="F7" i="64"/>
  <c r="F7" i="87"/>
  <c r="F7" i="62"/>
  <c r="F7" i="79"/>
  <c r="F7" i="69"/>
  <c r="F7" i="57"/>
  <c r="F7" i="91"/>
  <c r="F7" i="50"/>
  <c r="H7" i="82"/>
  <c r="F7" i="47"/>
  <c r="F7" i="65"/>
  <c r="F7" i="83"/>
  <c r="F7" i="43"/>
  <c r="F7" i="48"/>
  <c r="I29" i="86"/>
  <c r="F7" i="84"/>
  <c r="F7" i="40"/>
  <c r="F7" i="67"/>
  <c r="F7" i="63"/>
  <c r="F7" i="42"/>
  <c r="H7" i="72"/>
  <c r="K22" i="86"/>
  <c r="I27" i="86"/>
  <c r="I22" i="86"/>
  <c r="I26" i="86"/>
  <c r="F7" i="41"/>
  <c r="J24" i="86"/>
  <c r="K24" i="86"/>
  <c r="H29" i="86"/>
  <c r="K26" i="86"/>
  <c r="I23" i="86"/>
  <c r="I28" i="86"/>
  <c r="I25" i="86"/>
  <c r="H27" i="86"/>
  <c r="L28" i="86"/>
  <c r="J22" i="86"/>
  <c r="L26" i="86"/>
  <c r="J23" i="86"/>
  <c r="K27" i="86"/>
  <c r="J27" i="86"/>
  <c r="J29" i="86"/>
  <c r="J44" i="84"/>
  <c r="L23" i="86"/>
  <c r="K25" i="86"/>
  <c r="J28" i="86"/>
  <c r="H24" i="86"/>
  <c r="H26" i="86"/>
  <c r="K23" i="86"/>
  <c r="H35" i="84"/>
  <c r="N52" i="84"/>
  <c r="J52" i="84"/>
  <c r="F52" i="40"/>
  <c r="C33" i="84"/>
  <c r="L99" i="91"/>
  <c r="J98" i="91"/>
  <c r="H97" i="91"/>
  <c r="F96" i="91"/>
  <c r="D95" i="91"/>
  <c r="L93" i="91"/>
  <c r="J92" i="91"/>
  <c r="H91" i="91"/>
  <c r="F90" i="91"/>
  <c r="D89" i="91"/>
  <c r="L87" i="91"/>
  <c r="J86" i="91"/>
  <c r="H85" i="91"/>
  <c r="F84" i="91"/>
  <c r="D83" i="91"/>
  <c r="L81" i="91"/>
  <c r="J80" i="91"/>
  <c r="H79" i="91"/>
  <c r="F78" i="91"/>
  <c r="D77" i="91"/>
  <c r="L75" i="91"/>
  <c r="D100" i="91"/>
  <c r="K98" i="91"/>
  <c r="G97" i="91"/>
  <c r="D96" i="91"/>
  <c r="K94" i="91"/>
  <c r="H93" i="91"/>
  <c r="E92" i="91"/>
  <c r="L90" i="91"/>
  <c r="I89" i="91"/>
  <c r="F88" i="91"/>
  <c r="C87" i="91"/>
  <c r="J85" i="91"/>
  <c r="G84" i="91"/>
  <c r="C83" i="91"/>
  <c r="J81" i="91"/>
  <c r="G80" i="91"/>
  <c r="D79" i="91"/>
  <c r="K77" i="91"/>
  <c r="H76" i="91"/>
  <c r="E75" i="91"/>
  <c r="C74" i="91"/>
  <c r="K72" i="91"/>
  <c r="I71" i="91"/>
  <c r="G70" i="91"/>
  <c r="E69" i="91"/>
  <c r="C68" i="91"/>
  <c r="K66" i="91"/>
  <c r="I65" i="91"/>
  <c r="G64" i="91"/>
  <c r="E63" i="91"/>
  <c r="C62" i="91"/>
  <c r="K60" i="91"/>
  <c r="I59" i="91"/>
  <c r="G58" i="91"/>
  <c r="E57" i="91"/>
  <c r="C56" i="91"/>
  <c r="K54" i="91"/>
  <c r="I53" i="91"/>
  <c r="G52" i="91"/>
  <c r="E51" i="91"/>
  <c r="C50" i="91"/>
  <c r="K48" i="91"/>
  <c r="I47" i="91"/>
  <c r="G46" i="91"/>
  <c r="E45" i="91"/>
  <c r="C44" i="91"/>
  <c r="K42" i="91"/>
  <c r="I41" i="91"/>
  <c r="G40" i="91"/>
  <c r="E39" i="91"/>
  <c r="C38" i="91"/>
  <c r="K36" i="91"/>
  <c r="I35" i="91"/>
  <c r="G34" i="91"/>
  <c r="E33" i="91"/>
  <c r="C32" i="91"/>
  <c r="K30" i="91"/>
  <c r="I29" i="91"/>
  <c r="G28" i="91"/>
  <c r="E27" i="91"/>
  <c r="C26" i="91"/>
  <c r="K24" i="91"/>
  <c r="I23" i="91"/>
  <c r="G22" i="91"/>
  <c r="D21" i="91"/>
  <c r="G100" i="91"/>
  <c r="C99" i="91"/>
  <c r="I97" i="91"/>
  <c r="C96" i="91"/>
  <c r="I94" i="91"/>
  <c r="E93" i="91"/>
  <c r="K91" i="91"/>
  <c r="G90" i="91"/>
  <c r="L88" i="91"/>
  <c r="H87" i="91"/>
  <c r="D86" i="91"/>
  <c r="J84" i="91"/>
  <c r="F83" i="91"/>
  <c r="K81" i="91"/>
  <c r="F80" i="91"/>
  <c r="L78" i="91"/>
  <c r="H77" i="91"/>
  <c r="D76" i="91"/>
  <c r="J74" i="91"/>
  <c r="G73" i="91"/>
  <c r="D72" i="91"/>
  <c r="K70" i="91"/>
  <c r="H69" i="91"/>
  <c r="E68" i="91"/>
  <c r="L66" i="91"/>
  <c r="H65" i="91"/>
  <c r="E64" i="91"/>
  <c r="L62" i="91"/>
  <c r="I61" i="91"/>
  <c r="F60" i="91"/>
  <c r="C59" i="91"/>
  <c r="J57" i="91"/>
  <c r="G56" i="91"/>
  <c r="D55" i="91"/>
  <c r="K53" i="91"/>
  <c r="H52" i="91"/>
  <c r="D51" i="91"/>
  <c r="K49" i="91"/>
  <c r="H48" i="91"/>
  <c r="E47" i="91"/>
  <c r="L45" i="91"/>
  <c r="I44" i="91"/>
  <c r="F43" i="91"/>
  <c r="C42" i="91"/>
  <c r="J40" i="91"/>
  <c r="G39" i="91"/>
  <c r="D38" i="91"/>
  <c r="J36" i="91"/>
  <c r="G35" i="91"/>
  <c r="D34" i="91"/>
  <c r="K32" i="91"/>
  <c r="H31" i="91"/>
  <c r="E30" i="91"/>
  <c r="I27" i="91"/>
  <c r="F26" i="91"/>
  <c r="C25" i="91"/>
  <c r="J23" i="91"/>
  <c r="F22" i="91"/>
  <c r="J100" i="91"/>
  <c r="E99" i="91"/>
  <c r="J97" i="91"/>
  <c r="L95" i="91"/>
  <c r="G94" i="91"/>
  <c r="L92" i="91"/>
  <c r="F91" i="91"/>
  <c r="K89" i="91"/>
  <c r="E88" i="91"/>
  <c r="I86" i="91"/>
  <c r="D85" i="91"/>
  <c r="I83" i="91"/>
  <c r="D82" i="91"/>
  <c r="H80" i="91"/>
  <c r="K78" i="91"/>
  <c r="F77" i="91"/>
  <c r="J75" i="91"/>
  <c r="F74" i="91"/>
  <c r="L72" i="91"/>
  <c r="G71" i="91"/>
  <c r="C70" i="91"/>
  <c r="I68" i="91"/>
  <c r="E67" i="91"/>
  <c r="K65" i="91"/>
  <c r="F64" i="91"/>
  <c r="K62" i="91"/>
  <c r="G61" i="91"/>
  <c r="C60" i="91"/>
  <c r="I58" i="91"/>
  <c r="D57" i="91"/>
  <c r="J55" i="91"/>
  <c r="F54" i="91"/>
  <c r="L52" i="91"/>
  <c r="H51" i="91"/>
  <c r="D50" i="91"/>
  <c r="I48" i="91"/>
  <c r="D47" i="91"/>
  <c r="J45" i="91"/>
  <c r="F44" i="91"/>
  <c r="L42" i="91"/>
  <c r="G41" i="91"/>
  <c r="C40" i="91"/>
  <c r="I38" i="91"/>
  <c r="E37" i="91"/>
  <c r="K35" i="91"/>
  <c r="F34" i="91"/>
  <c r="L32" i="91"/>
  <c r="G31" i="91"/>
  <c r="C30" i="91"/>
  <c r="I28" i="91"/>
  <c r="D27" i="91"/>
  <c r="J25" i="91"/>
  <c r="F24" i="91"/>
  <c r="G21" i="91"/>
  <c r="I100" i="91"/>
  <c r="D99" i="91"/>
  <c r="F97" i="91"/>
  <c r="K95" i="91"/>
  <c r="F94" i="91"/>
  <c r="K92" i="91"/>
  <c r="E91" i="91"/>
  <c r="J89" i="91"/>
  <c r="D88" i="91"/>
  <c r="H86" i="91"/>
  <c r="C85" i="91"/>
  <c r="H83" i="91"/>
  <c r="C82" i="91"/>
  <c r="E80" i="91"/>
  <c r="J78" i="91"/>
  <c r="E77" i="91"/>
  <c r="I75" i="91"/>
  <c r="E74" i="91"/>
  <c r="J72" i="91"/>
  <c r="F71" i="91"/>
  <c r="L69" i="91"/>
  <c r="H68" i="91"/>
  <c r="D67" i="91"/>
  <c r="J65" i="91"/>
  <c r="D64" i="91"/>
  <c r="J62" i="91"/>
  <c r="F61" i="91"/>
  <c r="L59" i="91"/>
  <c r="H58" i="91"/>
  <c r="C57" i="91"/>
  <c r="I55" i="91"/>
  <c r="E54" i="91"/>
  <c r="K52" i="91"/>
  <c r="G51" i="91"/>
  <c r="L49" i="91"/>
  <c r="G48" i="91"/>
  <c r="C47" i="91"/>
  <c r="I45" i="91"/>
  <c r="E44" i="91"/>
  <c r="J42" i="91"/>
  <c r="F41" i="91"/>
  <c r="L39" i="91"/>
  <c r="H38" i="91"/>
  <c r="D37" i="91"/>
  <c r="J35" i="91"/>
  <c r="E34" i="91"/>
  <c r="J32" i="91"/>
  <c r="F31" i="91"/>
  <c r="L29" i="91"/>
  <c r="H28" i="91"/>
  <c r="C27" i="91"/>
  <c r="H29" i="87" s="1"/>
  <c r="H100" i="91"/>
  <c r="L98" i="91"/>
  <c r="E97" i="91"/>
  <c r="J95" i="91"/>
  <c r="E94" i="91"/>
  <c r="I92" i="91"/>
  <c r="D91" i="91"/>
  <c r="H89" i="91"/>
  <c r="C88" i="91"/>
  <c r="G86" i="91"/>
  <c r="L84" i="91"/>
  <c r="G83" i="91"/>
  <c r="I81" i="91"/>
  <c r="D80" i="91"/>
  <c r="I78" i="91"/>
  <c r="C77" i="91"/>
  <c r="H75" i="91"/>
  <c r="D74" i="91"/>
  <c r="I72" i="91"/>
  <c r="H99" i="91"/>
  <c r="D97" i="91"/>
  <c r="F95" i="91"/>
  <c r="F93" i="91"/>
  <c r="C91" i="91"/>
  <c r="C89" i="91"/>
  <c r="D87" i="91"/>
  <c r="K84" i="91"/>
  <c r="J82" i="91"/>
  <c r="L80" i="91"/>
  <c r="H78" i="91"/>
  <c r="I76" i="91"/>
  <c r="I74" i="91"/>
  <c r="H72" i="91"/>
  <c r="L70" i="91"/>
  <c r="D69" i="91"/>
  <c r="H67" i="91"/>
  <c r="L65" i="91"/>
  <c r="L63" i="91"/>
  <c r="F62" i="91"/>
  <c r="I60" i="91"/>
  <c r="L58" i="91"/>
  <c r="F57" i="91"/>
  <c r="G55" i="91"/>
  <c r="J53" i="91"/>
  <c r="C52" i="91"/>
  <c r="G50" i="91"/>
  <c r="J48" i="91"/>
  <c r="K46" i="91"/>
  <c r="D45" i="91"/>
  <c r="H43" i="91"/>
  <c r="K41" i="91"/>
  <c r="D40" i="91"/>
  <c r="F38" i="91"/>
  <c r="H36" i="91"/>
  <c r="L34" i="91"/>
  <c r="F33" i="91"/>
  <c r="I31" i="91"/>
  <c r="J29" i="91"/>
  <c r="C28" i="91"/>
  <c r="G26" i="91"/>
  <c r="J24" i="91"/>
  <c r="E23" i="91"/>
  <c r="I21" i="91"/>
  <c r="G99" i="91"/>
  <c r="C97" i="91"/>
  <c r="E95" i="91"/>
  <c r="D93" i="91"/>
  <c r="K90" i="91"/>
  <c r="K88" i="91"/>
  <c r="L86" i="91"/>
  <c r="I84" i="91"/>
  <c r="I82" i="91"/>
  <c r="G78" i="91"/>
  <c r="G76" i="91"/>
  <c r="H74" i="91"/>
  <c r="G72" i="91"/>
  <c r="J70" i="91"/>
  <c r="C69" i="91"/>
  <c r="G67" i="91"/>
  <c r="G65" i="91"/>
  <c r="K63" i="91"/>
  <c r="E62" i="91"/>
  <c r="H60" i="91"/>
  <c r="K58" i="91"/>
  <c r="L56" i="91"/>
  <c r="F55" i="91"/>
  <c r="H53" i="91"/>
  <c r="L51" i="91"/>
  <c r="F50" i="91"/>
  <c r="F48" i="91"/>
  <c r="J46" i="91"/>
  <c r="C45" i="91"/>
  <c r="J41" i="91"/>
  <c r="K39" i="91"/>
  <c r="E38" i="91"/>
  <c r="G36" i="91"/>
  <c r="K34" i="91"/>
  <c r="D33" i="91"/>
  <c r="E31" i="91"/>
  <c r="H29" i="91"/>
  <c r="I24" i="91"/>
  <c r="D23" i="91"/>
  <c r="H21" i="91"/>
  <c r="K80" i="91"/>
  <c r="G43" i="91"/>
  <c r="E26" i="91"/>
  <c r="L100" i="91"/>
  <c r="H98" i="91"/>
  <c r="J96" i="91"/>
  <c r="J94" i="91"/>
  <c r="G92" i="91"/>
  <c r="H90" i="91"/>
  <c r="H88" i="91"/>
  <c r="E86" i="91"/>
  <c r="D84" i="91"/>
  <c r="F82" i="91"/>
  <c r="L79" i="91"/>
  <c r="C78" i="91"/>
  <c r="C76" i="91"/>
  <c r="K73" i="91"/>
  <c r="C72" i="91"/>
  <c r="F70" i="91"/>
  <c r="J68" i="91"/>
  <c r="J66" i="91"/>
  <c r="D65" i="91"/>
  <c r="H63" i="91"/>
  <c r="K61" i="91"/>
  <c r="D60" i="91"/>
  <c r="E58" i="91"/>
  <c r="I56" i="91"/>
  <c r="L54" i="91"/>
  <c r="E53" i="91"/>
  <c r="I51" i="91"/>
  <c r="I49" i="91"/>
  <c r="C48" i="91"/>
  <c r="F46" i="91"/>
  <c r="J44" i="91"/>
  <c r="C43" i="91"/>
  <c r="D41" i="91"/>
  <c r="H39" i="91"/>
  <c r="J37" i="91"/>
  <c r="D36" i="91"/>
  <c r="H34" i="91"/>
  <c r="H32" i="91"/>
  <c r="L30" i="91"/>
  <c r="E29" i="91"/>
  <c r="H27" i="91"/>
  <c r="K25" i="91"/>
  <c r="E24" i="91"/>
  <c r="J22" i="91"/>
  <c r="C21" i="91"/>
  <c r="E98" i="91"/>
  <c r="H95" i="91"/>
  <c r="H92" i="91"/>
  <c r="C90" i="91"/>
  <c r="F87" i="91"/>
  <c r="E84" i="91"/>
  <c r="G81" i="91"/>
  <c r="E79" i="91"/>
  <c r="E76" i="91"/>
  <c r="H73" i="91"/>
  <c r="D71" i="91"/>
  <c r="K68" i="91"/>
  <c r="G66" i="91"/>
  <c r="H64" i="91"/>
  <c r="L61" i="91"/>
  <c r="H59" i="91"/>
  <c r="H57" i="91"/>
  <c r="C55" i="91"/>
  <c r="J52" i="91"/>
  <c r="I50" i="91"/>
  <c r="D48" i="91"/>
  <c r="C46" i="91"/>
  <c r="J43" i="91"/>
  <c r="E41" i="91"/>
  <c r="C39" i="91"/>
  <c r="L36" i="91"/>
  <c r="I34" i="91"/>
  <c r="E32" i="91"/>
  <c r="D30" i="91"/>
  <c r="J27" i="91"/>
  <c r="G25" i="91"/>
  <c r="G23" i="91"/>
  <c r="E21" i="91"/>
  <c r="K100" i="91"/>
  <c r="C98" i="91"/>
  <c r="L94" i="91"/>
  <c r="L91" i="91"/>
  <c r="J88" i="91"/>
  <c r="K85" i="91"/>
  <c r="K82" i="91"/>
  <c r="J79" i="91"/>
  <c r="K76" i="91"/>
  <c r="J73" i="91"/>
  <c r="E71" i="91"/>
  <c r="G68" i="91"/>
  <c r="E66" i="91"/>
  <c r="I63" i="91"/>
  <c r="D61" i="91"/>
  <c r="J58" i="91"/>
  <c r="E56" i="91"/>
  <c r="L53" i="91"/>
  <c r="C51" i="91"/>
  <c r="C49" i="91"/>
  <c r="E46" i="91"/>
  <c r="K43" i="91"/>
  <c r="C41" i="91"/>
  <c r="K38" i="91"/>
  <c r="E36" i="91"/>
  <c r="J33" i="91"/>
  <c r="D31" i="91"/>
  <c r="K28" i="91"/>
  <c r="F38" i="85" s="1"/>
  <c r="H26" i="91"/>
  <c r="C24" i="91"/>
  <c r="K21" i="91"/>
  <c r="F100" i="91"/>
  <c r="L97" i="91"/>
  <c r="H94" i="91"/>
  <c r="J91" i="91"/>
  <c r="I88" i="91"/>
  <c r="I85" i="91"/>
  <c r="H82" i="91"/>
  <c r="I79" i="91"/>
  <c r="J76" i="91"/>
  <c r="I73" i="91"/>
  <c r="C71" i="91"/>
  <c r="F68" i="91"/>
  <c r="D66" i="91"/>
  <c r="G63" i="91"/>
  <c r="C61" i="91"/>
  <c r="F58" i="91"/>
  <c r="D56" i="91"/>
  <c r="G53" i="91"/>
  <c r="L50" i="91"/>
  <c r="L48" i="91"/>
  <c r="D46" i="91"/>
  <c r="I43" i="91"/>
  <c r="L40" i="91"/>
  <c r="J38" i="91"/>
  <c r="C36" i="91"/>
  <c r="I33" i="91"/>
  <c r="C31" i="91"/>
  <c r="J28" i="91"/>
  <c r="D26" i="91"/>
  <c r="J21" i="91"/>
  <c r="G91" i="91"/>
  <c r="C58" i="91"/>
  <c r="L37" i="91"/>
  <c r="I25" i="91"/>
  <c r="E100" i="91"/>
  <c r="K97" i="91"/>
  <c r="D94" i="91"/>
  <c r="I91" i="91"/>
  <c r="G88" i="91"/>
  <c r="G85" i="91"/>
  <c r="G82" i="91"/>
  <c r="G79" i="91"/>
  <c r="F76" i="91"/>
  <c r="F73" i="91"/>
  <c r="I70" i="91"/>
  <c r="D68" i="91"/>
  <c r="C66" i="91"/>
  <c r="F63" i="91"/>
  <c r="L60" i="91"/>
  <c r="D58" i="91"/>
  <c r="L55" i="91"/>
  <c r="F53" i="91"/>
  <c r="K50" i="91"/>
  <c r="E48" i="91"/>
  <c r="K45" i="91"/>
  <c r="E43" i="91"/>
  <c r="K40" i="91"/>
  <c r="G38" i="91"/>
  <c r="L35" i="91"/>
  <c r="H33" i="91"/>
  <c r="J30" i="91"/>
  <c r="F28" i="91"/>
  <c r="K23" i="91"/>
  <c r="F21" i="91"/>
  <c r="C100" i="91"/>
  <c r="L96" i="91"/>
  <c r="C94" i="91"/>
  <c r="K87" i="91"/>
  <c r="F85" i="91"/>
  <c r="E82" i="91"/>
  <c r="F79" i="91"/>
  <c r="K75" i="91"/>
  <c r="E73" i="91"/>
  <c r="H70" i="91"/>
  <c r="L67" i="91"/>
  <c r="F65" i="91"/>
  <c r="D63" i="91"/>
  <c r="J60" i="91"/>
  <c r="K55" i="91"/>
  <c r="D53" i="91"/>
  <c r="J50" i="91"/>
  <c r="L47" i="91"/>
  <c r="H45" i="91"/>
  <c r="D43" i="91"/>
  <c r="I40" i="91"/>
  <c r="H35" i="91"/>
  <c r="G33" i="91"/>
  <c r="I30" i="91"/>
  <c r="E28" i="91"/>
  <c r="H23" i="91"/>
  <c r="J99" i="91"/>
  <c r="I96" i="91"/>
  <c r="J93" i="91"/>
  <c r="I90" i="91"/>
  <c r="I87" i="91"/>
  <c r="H84" i="91"/>
  <c r="F81" i="91"/>
  <c r="E78" i="91"/>
  <c r="F75" i="91"/>
  <c r="C73" i="91"/>
  <c r="D70" i="91"/>
  <c r="J67" i="91"/>
  <c r="C65" i="91"/>
  <c r="I62" i="91"/>
  <c r="E60" i="91"/>
  <c r="K57" i="91"/>
  <c r="E55" i="91"/>
  <c r="I52" i="91"/>
  <c r="E50" i="91"/>
  <c r="J47" i="91"/>
  <c r="F45" i="91"/>
  <c r="H42" i="91"/>
  <c r="F40" i="91"/>
  <c r="I37" i="91"/>
  <c r="E35" i="91"/>
  <c r="I32" i="91"/>
  <c r="G30" i="91"/>
  <c r="K27" i="91"/>
  <c r="F25" i="91"/>
  <c r="C23" i="91"/>
  <c r="I99" i="91"/>
  <c r="H96" i="91"/>
  <c r="I93" i="91"/>
  <c r="E90" i="91"/>
  <c r="G87" i="91"/>
  <c r="C84" i="91"/>
  <c r="E81" i="91"/>
  <c r="D78" i="91"/>
  <c r="D75" i="91"/>
  <c r="F72" i="91"/>
  <c r="I67" i="91"/>
  <c r="L64" i="91"/>
  <c r="H62" i="91"/>
  <c r="K59" i="91"/>
  <c r="I57" i="91"/>
  <c r="J54" i="91"/>
  <c r="F52" i="91"/>
  <c r="J49" i="91"/>
  <c r="H47" i="91"/>
  <c r="L44" i="91"/>
  <c r="G42" i="91"/>
  <c r="E40" i="91"/>
  <c r="H37" i="91"/>
  <c r="D35" i="91"/>
  <c r="G32" i="91"/>
  <c r="F30" i="91"/>
  <c r="G27" i="91"/>
  <c r="E25" i="91"/>
  <c r="K22" i="91"/>
  <c r="F99" i="91"/>
  <c r="G96" i="91"/>
  <c r="G93" i="91"/>
  <c r="D90" i="91"/>
  <c r="E87" i="91"/>
  <c r="L83" i="91"/>
  <c r="L77" i="91"/>
  <c r="C75" i="91"/>
  <c r="E72" i="91"/>
  <c r="J69" i="91"/>
  <c r="K64" i="91"/>
  <c r="G62" i="91"/>
  <c r="J59" i="91"/>
  <c r="G57" i="91"/>
  <c r="I54" i="91"/>
  <c r="E52" i="91"/>
  <c r="H49" i="91"/>
  <c r="K44" i="91"/>
  <c r="F42" i="91"/>
  <c r="J39" i="91"/>
  <c r="G37" i="91"/>
  <c r="C35" i="91"/>
  <c r="F32" i="91"/>
  <c r="F27" i="91"/>
  <c r="D25" i="91"/>
  <c r="I22" i="91"/>
  <c r="K69" i="91"/>
  <c r="D81" i="91"/>
  <c r="F67" i="91"/>
  <c r="G47" i="91"/>
  <c r="K29" i="91"/>
  <c r="E96" i="91"/>
  <c r="F89" i="91"/>
  <c r="H81" i="91"/>
  <c r="K74" i="91"/>
  <c r="L68" i="91"/>
  <c r="D62" i="91"/>
  <c r="H56" i="91"/>
  <c r="H50" i="91"/>
  <c r="G44" i="91"/>
  <c r="L38" i="91"/>
  <c r="D32" i="91"/>
  <c r="J26" i="91"/>
  <c r="K93" i="91"/>
  <c r="K79" i="91"/>
  <c r="L71" i="91"/>
  <c r="H66" i="91"/>
  <c r="G60" i="91"/>
  <c r="G54" i="91"/>
  <c r="D49" i="91"/>
  <c r="E42" i="91"/>
  <c r="I36" i="91"/>
  <c r="H30" i="91"/>
  <c r="H24" i="91"/>
  <c r="G75" i="91"/>
  <c r="I95" i="91"/>
  <c r="E89" i="91"/>
  <c r="C81" i="91"/>
  <c r="G74" i="91"/>
  <c r="K67" i="91"/>
  <c r="J61" i="91"/>
  <c r="F56" i="91"/>
  <c r="G49" i="91"/>
  <c r="D44" i="91"/>
  <c r="K37" i="91"/>
  <c r="L31" i="91"/>
  <c r="I26" i="91"/>
  <c r="F86" i="91"/>
  <c r="G95" i="91"/>
  <c r="J87" i="91"/>
  <c r="I80" i="91"/>
  <c r="L73" i="91"/>
  <c r="C67" i="91"/>
  <c r="H61" i="91"/>
  <c r="H55" i="91"/>
  <c r="F49" i="91"/>
  <c r="L43" i="91"/>
  <c r="F37" i="91"/>
  <c r="K31" i="91"/>
  <c r="H25" i="91"/>
  <c r="C95" i="91"/>
  <c r="K86" i="91"/>
  <c r="C80" i="91"/>
  <c r="D73" i="91"/>
  <c r="I66" i="91"/>
  <c r="E61" i="91"/>
  <c r="H54" i="91"/>
  <c r="E49" i="91"/>
  <c r="I42" i="91"/>
  <c r="C37" i="91"/>
  <c r="J31" i="91"/>
  <c r="L74" i="91"/>
  <c r="K26" i="91"/>
  <c r="C93" i="91"/>
  <c r="C86" i="91"/>
  <c r="C79" i="91"/>
  <c r="K71" i="91"/>
  <c r="F66" i="91"/>
  <c r="G59" i="91"/>
  <c r="D54" i="91"/>
  <c r="K47" i="91"/>
  <c r="D42" i="91"/>
  <c r="F36" i="91"/>
  <c r="G29" i="91"/>
  <c r="G24" i="91"/>
  <c r="K99" i="91"/>
  <c r="F92" i="91"/>
  <c r="L85" i="91"/>
  <c r="J77" i="91"/>
  <c r="J71" i="91"/>
  <c r="E65" i="91"/>
  <c r="F59" i="91"/>
  <c r="C54" i="91"/>
  <c r="F47" i="91"/>
  <c r="L41" i="91"/>
  <c r="F35" i="91"/>
  <c r="F29" i="91"/>
  <c r="D24" i="91"/>
  <c r="I98" i="91"/>
  <c r="D92" i="91"/>
  <c r="E85" i="91"/>
  <c r="I77" i="91"/>
  <c r="H71" i="91"/>
  <c r="J64" i="91"/>
  <c r="E59" i="91"/>
  <c r="C53" i="91"/>
  <c r="L46" i="91"/>
  <c r="H41" i="91"/>
  <c r="J34" i="91"/>
  <c r="D29" i="91"/>
  <c r="F23" i="91"/>
  <c r="G98" i="91"/>
  <c r="C92" i="91"/>
  <c r="K83" i="91"/>
  <c r="G77" i="91"/>
  <c r="E70" i="91"/>
  <c r="I64" i="91"/>
  <c r="D59" i="91"/>
  <c r="D52" i="91"/>
  <c r="I46" i="91"/>
  <c r="H40" i="91"/>
  <c r="C34" i="91"/>
  <c r="C29" i="91"/>
  <c r="H22" i="91"/>
  <c r="F98" i="91"/>
  <c r="J90" i="91"/>
  <c r="J83" i="91"/>
  <c r="L76" i="91"/>
  <c r="I69" i="91"/>
  <c r="C64" i="91"/>
  <c r="L57" i="91"/>
  <c r="K51" i="91"/>
  <c r="H46" i="91"/>
  <c r="I39" i="91"/>
  <c r="L33" i="91"/>
  <c r="D28" i="91"/>
  <c r="L28" i="91" s="1"/>
  <c r="E22" i="91"/>
  <c r="D98" i="91"/>
  <c r="L89" i="91"/>
  <c r="E83" i="91"/>
  <c r="G69" i="91"/>
  <c r="J63" i="91"/>
  <c r="K56" i="91"/>
  <c r="J51" i="91"/>
  <c r="G45" i="91"/>
  <c r="F39" i="91"/>
  <c r="K33" i="91"/>
  <c r="D22" i="91"/>
  <c r="L22" i="91" s="1"/>
  <c r="K96" i="91"/>
  <c r="G89" i="91"/>
  <c r="L82" i="91"/>
  <c r="F69" i="91"/>
  <c r="C63" i="91"/>
  <c r="J56" i="91"/>
  <c r="F51" i="91"/>
  <c r="H44" i="91"/>
  <c r="D39" i="91"/>
  <c r="C33" i="91"/>
  <c r="C22" i="91"/>
  <c r="F28" i="42"/>
  <c r="F17" i="42"/>
  <c r="F18" i="42"/>
  <c r="F22" i="42"/>
  <c r="F24" i="42"/>
  <c r="F16" i="42"/>
  <c r="F29" i="42"/>
  <c r="F21" i="42"/>
  <c r="I21" i="69"/>
  <c r="F14" i="50"/>
  <c r="F19" i="50"/>
  <c r="F15" i="50"/>
  <c r="F17" i="40"/>
  <c r="I24" i="86"/>
  <c r="H23" i="86"/>
  <c r="H25" i="86"/>
  <c r="H27" i="49"/>
  <c r="H15" i="49"/>
  <c r="H18" i="49"/>
  <c r="H21" i="49"/>
  <c r="H24" i="49"/>
  <c r="H20" i="49"/>
  <c r="H17" i="49"/>
  <c r="H26" i="49"/>
  <c r="H58" i="37"/>
  <c r="H16" i="37"/>
  <c r="H63" i="37"/>
  <c r="H22" i="86"/>
  <c r="F18" i="50"/>
  <c r="H25" i="49"/>
  <c r="H28" i="49"/>
  <c r="H16" i="49"/>
  <c r="H21" i="37"/>
  <c r="F23" i="48"/>
  <c r="F24" i="47"/>
  <c r="F46" i="37"/>
  <c r="H53" i="37"/>
  <c r="H37" i="37"/>
  <c r="H48" i="40"/>
  <c r="H22" i="49"/>
  <c r="H19" i="49"/>
  <c r="F24" i="49"/>
  <c r="F23" i="49"/>
  <c r="F19" i="42"/>
  <c r="F23" i="42"/>
  <c r="F15" i="47"/>
  <c r="F28" i="47" s="1"/>
  <c r="H51" i="40"/>
  <c r="F49" i="37"/>
  <c r="H28" i="37"/>
  <c r="F28" i="37"/>
  <c r="F17" i="37"/>
  <c r="H30" i="50"/>
  <c r="F34" i="48"/>
  <c r="F43" i="40"/>
  <c r="H24" i="42"/>
  <c r="H30" i="42"/>
  <c r="H16" i="42"/>
  <c r="H27" i="42"/>
  <c r="H19" i="42"/>
  <c r="H15" i="42"/>
  <c r="H22" i="42"/>
  <c r="H28" i="42"/>
  <c r="H21" i="42"/>
  <c r="H25" i="42"/>
  <c r="H31" i="42" s="1"/>
  <c r="H27" i="48"/>
  <c r="H20" i="42"/>
  <c r="F40" i="48"/>
  <c r="F29" i="48"/>
  <c r="L52" i="84"/>
  <c r="F14" i="42"/>
  <c r="H18" i="42"/>
  <c r="F37" i="40"/>
  <c r="F47" i="40"/>
  <c r="H27" i="40"/>
  <c r="F31" i="40"/>
  <c r="F24" i="37"/>
  <c r="F30" i="42"/>
  <c r="F45" i="37"/>
  <c r="F21" i="69"/>
  <c r="G14" i="69" s="1"/>
  <c r="F28" i="50"/>
  <c r="F17" i="50"/>
  <c r="F20" i="50"/>
  <c r="F23" i="50"/>
  <c r="F22" i="50"/>
  <c r="F29" i="50"/>
  <c r="G18" i="69"/>
  <c r="F21" i="48"/>
  <c r="F38" i="48"/>
  <c r="F31" i="48"/>
  <c r="F14" i="48"/>
  <c r="F41" i="48"/>
  <c r="F24" i="48"/>
  <c r="F37" i="48"/>
  <c r="F20" i="48"/>
  <c r="F30" i="48"/>
  <c r="F33" i="48"/>
  <c r="F17" i="48"/>
  <c r="F36" i="48"/>
  <c r="F28" i="48"/>
  <c r="F15" i="48"/>
  <c r="F32" i="48"/>
  <c r="F27" i="48"/>
  <c r="F16" i="48"/>
  <c r="F35" i="48"/>
  <c r="F18" i="48"/>
  <c r="F39" i="48"/>
  <c r="H52" i="84"/>
  <c r="H15" i="44"/>
  <c r="F23" i="40"/>
  <c r="C19" i="57"/>
  <c r="C28" i="57"/>
  <c r="C37" i="57"/>
  <c r="H18" i="37"/>
  <c r="H46" i="37"/>
  <c r="F24" i="50"/>
  <c r="F25" i="42"/>
  <c r="H23" i="49"/>
  <c r="F19" i="41"/>
  <c r="E20" i="41"/>
  <c r="H19" i="41"/>
  <c r="F25" i="37"/>
  <c r="H61" i="37"/>
  <c r="F22" i="49"/>
  <c r="F18" i="49"/>
  <c r="F28" i="49"/>
  <c r="F14" i="49"/>
  <c r="F26" i="49"/>
  <c r="F15" i="49"/>
  <c r="F19" i="49"/>
  <c r="F25" i="49"/>
  <c r="H23" i="37"/>
  <c r="H48" i="37"/>
  <c r="H39" i="40"/>
  <c r="H26" i="40"/>
  <c r="H53" i="40"/>
  <c r="H41" i="40"/>
  <c r="H15" i="40"/>
  <c r="C32" i="70"/>
  <c r="H54" i="40"/>
  <c r="H50" i="40"/>
  <c r="H32" i="40"/>
  <c r="H38" i="40"/>
  <c r="H36" i="40"/>
  <c r="H30" i="40"/>
  <c r="H20" i="40"/>
  <c r="H24" i="40"/>
  <c r="H14" i="40"/>
  <c r="H44" i="40"/>
  <c r="H19" i="37"/>
  <c r="H28" i="86"/>
  <c r="F27" i="50"/>
  <c r="H42" i="40"/>
  <c r="H14" i="49"/>
  <c r="H43" i="40"/>
  <c r="F38" i="40"/>
  <c r="H45" i="40"/>
  <c r="F39" i="37"/>
  <c r="F48" i="37"/>
  <c r="N35" i="84"/>
  <c r="N34" i="84"/>
  <c r="F27" i="37"/>
  <c r="F34" i="40"/>
  <c r="F26" i="37"/>
  <c r="J7" i="82"/>
  <c r="H7" i="49"/>
  <c r="H7" i="46"/>
  <c r="H7" i="79"/>
  <c r="H7" i="71"/>
  <c r="H7" i="48"/>
  <c r="H7" i="40"/>
  <c r="H7" i="89"/>
  <c r="J7" i="72"/>
  <c r="I7" i="78"/>
  <c r="H7" i="47"/>
  <c r="H7" i="69"/>
  <c r="H7" i="66"/>
  <c r="H7" i="50"/>
  <c r="H7" i="63"/>
  <c r="H7" i="90"/>
  <c r="H7" i="62"/>
  <c r="H7" i="67"/>
  <c r="H7" i="83"/>
  <c r="H7" i="65"/>
  <c r="H7" i="37"/>
  <c r="H7" i="64"/>
  <c r="H7" i="41"/>
  <c r="H7" i="85"/>
  <c r="H7" i="42"/>
  <c r="H7" i="43"/>
  <c r="H7" i="87"/>
  <c r="H7" i="91"/>
  <c r="H7" i="86"/>
  <c r="H7" i="44"/>
  <c r="H7" i="61"/>
  <c r="H7" i="57"/>
  <c r="H7" i="70"/>
  <c r="H7" i="84"/>
  <c r="H7" i="92"/>
  <c r="F15" i="42"/>
  <c r="H4" i="70"/>
  <c r="F32" i="37"/>
  <c r="H23" i="40"/>
  <c r="H17" i="48"/>
  <c r="H42" i="48" s="1"/>
  <c r="H33" i="48"/>
  <c r="H23" i="48"/>
  <c r="H21" i="48"/>
  <c r="H24" i="48"/>
  <c r="H32" i="48"/>
  <c r="H41" i="48"/>
  <c r="H39" i="48"/>
  <c r="H29" i="48"/>
  <c r="H38" i="48"/>
  <c r="H30" i="48"/>
  <c r="F25" i="50"/>
  <c r="H36" i="37"/>
  <c r="H62" i="37"/>
  <c r="H47" i="37"/>
  <c r="H43" i="37"/>
  <c r="H51" i="37"/>
  <c r="H59" i="37"/>
  <c r="H42" i="37"/>
  <c r="H38" i="37"/>
  <c r="H57" i="37"/>
  <c r="H25" i="37"/>
  <c r="H44" i="37"/>
  <c r="H49" i="37"/>
  <c r="H30" i="37"/>
  <c r="H32" i="37"/>
  <c r="H26" i="37"/>
  <c r="H31" i="37"/>
  <c r="H40" i="37"/>
  <c r="H24" i="37"/>
  <c r="H33" i="37"/>
  <c r="G16" i="69"/>
  <c r="F26" i="47"/>
  <c r="F20" i="42"/>
  <c r="F25" i="40"/>
  <c r="H56" i="37"/>
  <c r="H34" i="37"/>
  <c r="F16" i="37"/>
  <c r="H6" i="89"/>
  <c r="H6" i="48"/>
  <c r="H6" i="40"/>
  <c r="H6" i="83"/>
  <c r="J6" i="82"/>
  <c r="H6" i="90"/>
  <c r="H6" i="79"/>
  <c r="H6" i="65"/>
  <c r="H6" i="44"/>
  <c r="J6" i="72"/>
  <c r="H6" i="69"/>
  <c r="H6" i="49"/>
  <c r="I6" i="78"/>
  <c r="H6" i="67"/>
  <c r="H6" i="47"/>
  <c r="H6" i="43"/>
  <c r="H6" i="71"/>
  <c r="H6" i="57"/>
  <c r="H6" i="46"/>
  <c r="H6" i="42"/>
  <c r="H6" i="84"/>
  <c r="H6" i="86"/>
  <c r="H6" i="92"/>
  <c r="H6" i="64"/>
  <c r="H6" i="50"/>
  <c r="H6" i="91"/>
  <c r="H6" i="70"/>
  <c r="H6" i="63"/>
  <c r="H6" i="61"/>
  <c r="H6" i="66"/>
  <c r="H6" i="41"/>
  <c r="J6" i="56"/>
  <c r="H6" i="85"/>
  <c r="H6" i="62"/>
  <c r="H6" i="87"/>
  <c r="H6" i="37"/>
  <c r="H25" i="40"/>
  <c r="F49" i="40"/>
  <c r="H35" i="40"/>
  <c r="H21" i="40"/>
  <c r="H37" i="40"/>
  <c r="F35" i="37"/>
  <c r="F14" i="37"/>
  <c r="F19" i="40"/>
  <c r="F25" i="48"/>
  <c r="H20" i="37"/>
  <c r="F63" i="37"/>
  <c r="C93" i="92"/>
  <c r="F90" i="92"/>
  <c r="D88" i="92"/>
  <c r="G85" i="92"/>
  <c r="E83" i="92"/>
  <c r="C81" i="92"/>
  <c r="F78" i="92"/>
  <c r="D76" i="92"/>
  <c r="G73" i="92"/>
  <c r="G94" i="92"/>
  <c r="D92" i="92"/>
  <c r="F89" i="92"/>
  <c r="C87" i="92"/>
  <c r="E84" i="92"/>
  <c r="G81" i="92"/>
  <c r="D79" i="92"/>
  <c r="F76" i="92"/>
  <c r="C74" i="92"/>
  <c r="E71" i="92"/>
  <c r="C69" i="92"/>
  <c r="F66" i="92"/>
  <c r="D64" i="92"/>
  <c r="G61" i="92"/>
  <c r="E59" i="92"/>
  <c r="C57" i="92"/>
  <c r="F54" i="92"/>
  <c r="D52" i="92"/>
  <c r="G49" i="92"/>
  <c r="E47" i="92"/>
  <c r="C45" i="92"/>
  <c r="F42" i="92"/>
  <c r="D40" i="92"/>
  <c r="G37" i="92"/>
  <c r="E35" i="92"/>
  <c r="C33" i="92"/>
  <c r="F30" i="92"/>
  <c r="D28" i="92"/>
  <c r="G25" i="92"/>
  <c r="E23" i="92"/>
  <c r="C21" i="92"/>
  <c r="F18" i="92"/>
  <c r="D16" i="92"/>
  <c r="C94" i="92"/>
  <c r="D91" i="92"/>
  <c r="E88" i="92"/>
  <c r="E85" i="92"/>
  <c r="F82" i="92"/>
  <c r="G79" i="92"/>
  <c r="C77" i="92"/>
  <c r="D74" i="92"/>
  <c r="D71" i="92"/>
  <c r="F68" i="92"/>
  <c r="C66" i="92"/>
  <c r="E63" i="92"/>
  <c r="G60" i="92"/>
  <c r="D58" i="92"/>
  <c r="F55" i="92"/>
  <c r="C53" i="92"/>
  <c r="E50" i="92"/>
  <c r="G47" i="92"/>
  <c r="D45" i="92"/>
  <c r="E42" i="92"/>
  <c r="G39" i="92"/>
  <c r="D37" i="92"/>
  <c r="F34" i="92"/>
  <c r="C32" i="92"/>
  <c r="E29" i="92"/>
  <c r="G26" i="92"/>
  <c r="D24" i="92"/>
  <c r="F21" i="92"/>
  <c r="C19" i="92"/>
  <c r="E16" i="92"/>
  <c r="G93" i="92"/>
  <c r="C91" i="92"/>
  <c r="C88" i="92"/>
  <c r="E82" i="92"/>
  <c r="F79" i="92"/>
  <c r="G76" i="92"/>
  <c r="F73" i="92"/>
  <c r="C71" i="92"/>
  <c r="D85" i="92"/>
  <c r="C92" i="92"/>
  <c r="G88" i="92"/>
  <c r="C85" i="92"/>
  <c r="F81" i="92"/>
  <c r="D78" i="92"/>
  <c r="C75" i="92"/>
  <c r="G71" i="92"/>
  <c r="E68" i="92"/>
  <c r="F65" i="92"/>
  <c r="G62" i="92"/>
  <c r="C60" i="92"/>
  <c r="D57" i="92"/>
  <c r="D54" i="92"/>
  <c r="E51" i="92"/>
  <c r="F48" i="92"/>
  <c r="G45" i="92"/>
  <c r="C43" i="92"/>
  <c r="C40" i="92"/>
  <c r="C37" i="92"/>
  <c r="D34" i="92"/>
  <c r="E31" i="92"/>
  <c r="F28" i="92"/>
  <c r="F25" i="92"/>
  <c r="G22" i="92"/>
  <c r="C20" i="92"/>
  <c r="D17" i="92"/>
  <c r="F94" i="92"/>
  <c r="G91" i="92"/>
  <c r="F88" i="92"/>
  <c r="G84" i="92"/>
  <c r="E81" i="92"/>
  <c r="C78" i="92"/>
  <c r="G74" i="92"/>
  <c r="F71" i="92"/>
  <c r="D68" i="92"/>
  <c r="E65" i="92"/>
  <c r="F62" i="92"/>
  <c r="G59" i="92"/>
  <c r="G56" i="92"/>
  <c r="C54" i="92"/>
  <c r="D51" i="92"/>
  <c r="E48" i="92"/>
  <c r="F45" i="92"/>
  <c r="G42" i="92"/>
  <c r="F39" i="92"/>
  <c r="G36" i="92"/>
  <c r="C34" i="92"/>
  <c r="D31" i="92"/>
  <c r="E28" i="92"/>
  <c r="E25" i="92"/>
  <c r="F22" i="92"/>
  <c r="G19" i="92"/>
  <c r="C17" i="92"/>
  <c r="F91" i="92"/>
  <c r="G87" i="92"/>
  <c r="F84" i="92"/>
  <c r="D81" i="92"/>
  <c r="G77" i="92"/>
  <c r="F74" i="92"/>
  <c r="G70" i="92"/>
  <c r="C68" i="92"/>
  <c r="D65" i="92"/>
  <c r="E62" i="92"/>
  <c r="F59" i="92"/>
  <c r="F56" i="92"/>
  <c r="G53" i="92"/>
  <c r="C51" i="92"/>
  <c r="D48" i="92"/>
  <c r="E45" i="92"/>
  <c r="D42" i="92"/>
  <c r="E39" i="92"/>
  <c r="F36" i="92"/>
  <c r="G33" i="92"/>
  <c r="C31" i="92"/>
  <c r="C28" i="92"/>
  <c r="D25" i="92"/>
  <c r="E22" i="92"/>
  <c r="F18" i="70" s="1"/>
  <c r="F19" i="92"/>
  <c r="G16" i="92"/>
  <c r="D94" i="92"/>
  <c r="E90" i="92"/>
  <c r="D87" i="92"/>
  <c r="G83" i="92"/>
  <c r="E80" i="92"/>
  <c r="D77" i="92"/>
  <c r="D73" i="92"/>
  <c r="D70" i="92"/>
  <c r="E67" i="92"/>
  <c r="F64" i="92"/>
  <c r="F61" i="92"/>
  <c r="G58" i="92"/>
  <c r="C56" i="92"/>
  <c r="D53" i="92"/>
  <c r="D50" i="92"/>
  <c r="D47" i="92"/>
  <c r="E44" i="92"/>
  <c r="F41" i="92"/>
  <c r="G38" i="92"/>
  <c r="C36" i="92"/>
  <c r="D33" i="92"/>
  <c r="D30" i="92"/>
  <c r="E27" i="92"/>
  <c r="F24" i="92"/>
  <c r="G21" i="92"/>
  <c r="G18" i="92"/>
  <c r="G15" i="92"/>
  <c r="F93" i="92"/>
  <c r="D90" i="92"/>
  <c r="G86" i="92"/>
  <c r="F83" i="92"/>
  <c r="D80" i="92"/>
  <c r="E76" i="92"/>
  <c r="C70" i="92"/>
  <c r="D67" i="92"/>
  <c r="E64" i="92"/>
  <c r="E61" i="92"/>
  <c r="F58" i="92"/>
  <c r="G55" i="92"/>
  <c r="G52" i="92"/>
  <c r="C50" i="92"/>
  <c r="C47" i="92"/>
  <c r="D44" i="92"/>
  <c r="E41" i="92"/>
  <c r="G35" i="92"/>
  <c r="G32" i="92"/>
  <c r="C30" i="92"/>
  <c r="D27" i="92"/>
  <c r="E21" i="92"/>
  <c r="J18" i="70" s="1"/>
  <c r="J17" i="70" s="1"/>
  <c r="E18" i="92"/>
  <c r="F15" i="92"/>
  <c r="E93" i="92"/>
  <c r="C90" i="92"/>
  <c r="F86" i="92"/>
  <c r="D83" i="92"/>
  <c r="C80" i="92"/>
  <c r="C76" i="92"/>
  <c r="G72" i="92"/>
  <c r="G69" i="92"/>
  <c r="C67" i="92"/>
  <c r="C64" i="92"/>
  <c r="D61" i="92"/>
  <c r="E58" i="92"/>
  <c r="E55" i="92"/>
  <c r="F52" i="92"/>
  <c r="F49" i="92"/>
  <c r="G46" i="92"/>
  <c r="D41" i="92"/>
  <c r="E38" i="92"/>
  <c r="F35" i="92"/>
  <c r="F32" i="92"/>
  <c r="G29" i="92"/>
  <c r="C27" i="92"/>
  <c r="C24" i="92"/>
  <c r="D21" i="92"/>
  <c r="D18" i="92"/>
  <c r="E15" i="92"/>
  <c r="C73" i="92"/>
  <c r="F38" i="92"/>
  <c r="E24" i="92"/>
  <c r="C44" i="92"/>
  <c r="G90" i="92"/>
  <c r="C84" i="92"/>
  <c r="E77" i="92"/>
  <c r="E70" i="92"/>
  <c r="G64" i="92"/>
  <c r="C59" i="92"/>
  <c r="E53" i="92"/>
  <c r="F47" i="92"/>
  <c r="G41" i="92"/>
  <c r="D36" i="92"/>
  <c r="E30" i="92"/>
  <c r="G24" i="92"/>
  <c r="D19" i="92"/>
  <c r="C89" i="92"/>
  <c r="C63" i="92"/>
  <c r="E57" i="92"/>
  <c r="F51" i="92"/>
  <c r="C46" i="92"/>
  <c r="E34" i="92"/>
  <c r="C23" i="92"/>
  <c r="E17" i="92"/>
  <c r="F85" i="92"/>
  <c r="F70" i="92"/>
  <c r="G89" i="92"/>
  <c r="C83" i="92"/>
  <c r="G75" i="92"/>
  <c r="F69" i="92"/>
  <c r="G63" i="92"/>
  <c r="C58" i="92"/>
  <c r="E52" i="92"/>
  <c r="F46" i="92"/>
  <c r="C41" i="92"/>
  <c r="D35" i="92"/>
  <c r="F29" i="92"/>
  <c r="G23" i="92"/>
  <c r="C18" i="92"/>
  <c r="D75" i="92"/>
  <c r="G28" i="92"/>
  <c r="E89" i="92"/>
  <c r="G82" i="92"/>
  <c r="F75" i="92"/>
  <c r="E69" i="92"/>
  <c r="F63" i="92"/>
  <c r="G57" i="92"/>
  <c r="C52" i="92"/>
  <c r="E46" i="92"/>
  <c r="G40" i="92"/>
  <c r="C35" i="92"/>
  <c r="D29" i="92"/>
  <c r="F23" i="92"/>
  <c r="G17" i="92"/>
  <c r="C82" i="92"/>
  <c r="E40" i="92"/>
  <c r="D84" i="92"/>
  <c r="D89" i="92"/>
  <c r="D82" i="92"/>
  <c r="E75" i="92"/>
  <c r="D69" i="92"/>
  <c r="D63" i="92"/>
  <c r="F57" i="92"/>
  <c r="G51" i="92"/>
  <c r="D46" i="92"/>
  <c r="F40" i="92"/>
  <c r="G34" i="92"/>
  <c r="C29" i="92"/>
  <c r="D23" i="92"/>
  <c r="F17" i="92"/>
  <c r="G68" i="92"/>
  <c r="E54" i="92"/>
  <c r="F77" i="92"/>
  <c r="E19" i="92"/>
  <c r="F87" i="92"/>
  <c r="G80" i="92"/>
  <c r="E74" i="92"/>
  <c r="G67" i="92"/>
  <c r="D62" i="92"/>
  <c r="E56" i="92"/>
  <c r="G50" i="92"/>
  <c r="G44" i="92"/>
  <c r="D39" i="92"/>
  <c r="F33" i="92"/>
  <c r="G27" i="92"/>
  <c r="D22" i="92"/>
  <c r="F16" i="92"/>
  <c r="E94" i="92"/>
  <c r="E87" i="92"/>
  <c r="F80" i="92"/>
  <c r="E73" i="92"/>
  <c r="F67" i="92"/>
  <c r="C62" i="92"/>
  <c r="D56" i="92"/>
  <c r="F50" i="92"/>
  <c r="F44" i="92"/>
  <c r="C39" i="92"/>
  <c r="E33" i="92"/>
  <c r="F27" i="92"/>
  <c r="C22" i="92"/>
  <c r="C16" i="92"/>
  <c r="D93" i="92"/>
  <c r="E86" i="92"/>
  <c r="E79" i="92"/>
  <c r="F72" i="92"/>
  <c r="G66" i="92"/>
  <c r="C61" i="92"/>
  <c r="D55" i="92"/>
  <c r="E49" i="92"/>
  <c r="G43" i="92"/>
  <c r="D38" i="92"/>
  <c r="E32" i="92"/>
  <c r="F26" i="92"/>
  <c r="G20" i="92"/>
  <c r="D15" i="92"/>
  <c r="G92" i="92"/>
  <c r="D86" i="92"/>
  <c r="C79" i="92"/>
  <c r="E72" i="92"/>
  <c r="E66" i="92"/>
  <c r="F60" i="92"/>
  <c r="C55" i="92"/>
  <c r="D49" i="92"/>
  <c r="F43" i="92"/>
  <c r="C38" i="92"/>
  <c r="D32" i="92"/>
  <c r="E26" i="92"/>
  <c r="F20" i="92"/>
  <c r="C15" i="92"/>
  <c r="F44" i="85" s="1"/>
  <c r="H44" i="85" s="1"/>
  <c r="F92" i="92"/>
  <c r="C86" i="92"/>
  <c r="G78" i="92"/>
  <c r="D72" i="92"/>
  <c r="D66" i="92"/>
  <c r="E60" i="92"/>
  <c r="G54" i="92"/>
  <c r="C49" i="92"/>
  <c r="E43" i="92"/>
  <c r="F37" i="92"/>
  <c r="G31" i="92"/>
  <c r="D26" i="92"/>
  <c r="E20" i="92"/>
  <c r="E92" i="92"/>
  <c r="E78" i="92"/>
  <c r="C72" i="92"/>
  <c r="G65" i="92"/>
  <c r="D60" i="92"/>
  <c r="G48" i="92"/>
  <c r="D43" i="92"/>
  <c r="E37" i="92"/>
  <c r="F31" i="92"/>
  <c r="C26" i="92"/>
  <c r="D20" i="92"/>
  <c r="E91" i="92"/>
  <c r="C65" i="92"/>
  <c r="D59" i="92"/>
  <c r="F53" i="92"/>
  <c r="C48" i="92"/>
  <c r="C42" i="92"/>
  <c r="E36" i="92"/>
  <c r="G30" i="92"/>
  <c r="C25" i="92"/>
  <c r="H15" i="37"/>
  <c r="H65" i="37" s="1"/>
  <c r="F26" i="48"/>
  <c r="E59" i="40"/>
  <c r="F36" i="40"/>
  <c r="F39" i="40"/>
  <c r="F42" i="40"/>
  <c r="F15" i="40"/>
  <c r="F48" i="40"/>
  <c r="F24" i="40"/>
  <c r="F50" i="40"/>
  <c r="F21" i="40"/>
  <c r="F53" i="40"/>
  <c r="F45" i="40"/>
  <c r="F33" i="40"/>
  <c r="F29" i="40"/>
  <c r="F20" i="40"/>
  <c r="F46" i="40"/>
  <c r="F28" i="40"/>
  <c r="F27" i="40"/>
  <c r="F18" i="40"/>
  <c r="F51" i="40"/>
  <c r="F41" i="40"/>
  <c r="F26" i="40"/>
  <c r="F16" i="40"/>
  <c r="F54" i="40"/>
  <c r="F14" i="40"/>
  <c r="F30" i="40"/>
  <c r="F35" i="40"/>
  <c r="F40" i="40"/>
  <c r="F22" i="40"/>
  <c r="H16" i="44"/>
  <c r="F32" i="40"/>
  <c r="F16" i="47"/>
  <c r="F19" i="47"/>
  <c r="F25" i="47"/>
  <c r="F27" i="47"/>
  <c r="F21" i="47"/>
  <c r="F18" i="47"/>
  <c r="F22" i="47"/>
  <c r="F20" i="47"/>
  <c r="H44" i="84"/>
  <c r="E69" i="37"/>
  <c r="F59" i="37"/>
  <c r="F50" i="37"/>
  <c r="F43" i="37"/>
  <c r="F64" i="37"/>
  <c r="F56" i="37"/>
  <c r="F47" i="37"/>
  <c r="F52" i="37"/>
  <c r="F38" i="37"/>
  <c r="F29" i="37"/>
  <c r="F34" i="37"/>
  <c r="F20" i="37"/>
  <c r="F62" i="37"/>
  <c r="F58" i="37"/>
  <c r="F53" i="37"/>
  <c r="H22" i="47"/>
  <c r="H18" i="47"/>
  <c r="H24" i="47"/>
  <c r="H20" i="47"/>
  <c r="H15" i="47"/>
  <c r="H19" i="47"/>
  <c r="H14" i="47"/>
  <c r="H27" i="47"/>
  <c r="H26" i="47"/>
  <c r="H25" i="47"/>
  <c r="H17" i="47"/>
  <c r="H21" i="47"/>
  <c r="F19" i="48"/>
  <c r="H23" i="46"/>
  <c r="F19" i="37"/>
  <c r="F26" i="50"/>
  <c r="F26" i="42"/>
  <c r="H47" i="40"/>
  <c r="L25" i="91" l="1"/>
  <c r="L26" i="91"/>
  <c r="L27" i="91"/>
  <c r="L23" i="91"/>
  <c r="L24" i="91"/>
  <c r="F17" i="70"/>
  <c r="F34" i="70"/>
  <c r="H55" i="40"/>
  <c r="C33" i="57"/>
  <c r="C42" i="57"/>
  <c r="C25" i="57"/>
  <c r="C35" i="84"/>
  <c r="F36" i="70" s="1"/>
  <c r="C24" i="57"/>
  <c r="L34" i="84"/>
  <c r="J34" i="84"/>
  <c r="F34" i="84"/>
  <c r="D34" i="84"/>
  <c r="H28" i="47"/>
  <c r="J6" i="83"/>
  <c r="J6" i="90"/>
  <c r="L6" i="82"/>
  <c r="J6" i="49"/>
  <c r="J6" i="46"/>
  <c r="J6" i="79"/>
  <c r="M6" i="89"/>
  <c r="N6" i="78"/>
  <c r="J6" i="43"/>
  <c r="J6" i="64"/>
  <c r="J6" i="84"/>
  <c r="J6" i="67"/>
  <c r="J6" i="47"/>
  <c r="J6" i="41"/>
  <c r="J6" i="71"/>
  <c r="J6" i="50"/>
  <c r="J6" i="42"/>
  <c r="J6" i="69"/>
  <c r="J6" i="70"/>
  <c r="J6" i="63"/>
  <c r="J6" i="48"/>
  <c r="J6" i="44"/>
  <c r="J6" i="87"/>
  <c r="J6" i="65"/>
  <c r="J6" i="61"/>
  <c r="J6" i="85"/>
  <c r="J6" i="40"/>
  <c r="J6" i="92"/>
  <c r="J6" i="57"/>
  <c r="J6" i="62"/>
  <c r="J6" i="91"/>
  <c r="J6" i="66"/>
  <c r="J6" i="86"/>
  <c r="J6" i="37"/>
  <c r="N6" i="72"/>
  <c r="H41" i="85"/>
  <c r="H40" i="85"/>
  <c r="H39" i="85"/>
  <c r="H38" i="85"/>
  <c r="H42" i="85"/>
  <c r="H20" i="41"/>
  <c r="F20" i="41"/>
  <c r="G20" i="41" s="1"/>
  <c r="E21" i="41"/>
  <c r="F65" i="37"/>
  <c r="G19" i="41"/>
  <c r="H34" i="84"/>
  <c r="F30" i="50"/>
  <c r="H29" i="49"/>
  <c r="F31" i="42"/>
  <c r="F55" i="40"/>
  <c r="F29" i="49"/>
  <c r="F42" i="48"/>
  <c r="G19" i="69"/>
  <c r="G17" i="69"/>
  <c r="G15" i="69"/>
  <c r="G21" i="69" s="1"/>
  <c r="G20" i="69"/>
  <c r="L17" i="91" l="1"/>
  <c r="F45" i="85" s="1"/>
  <c r="H45" i="85" s="1"/>
  <c r="E22" i="41"/>
  <c r="H21" i="41"/>
  <c r="F21" i="41"/>
  <c r="G21" i="41" s="1"/>
  <c r="H22" i="41" l="1"/>
  <c r="E23" i="41"/>
  <c r="F22" i="41"/>
  <c r="G22" i="41" s="1"/>
  <c r="H23" i="41" l="1"/>
  <c r="E24" i="41"/>
  <c r="F23" i="41"/>
  <c r="G23" i="41" s="1"/>
  <c r="E25" i="41" l="1"/>
  <c r="F24" i="41"/>
  <c r="G24" i="41" s="1"/>
  <c r="H24" i="41"/>
  <c r="E26" i="41" l="1"/>
  <c r="H25" i="41"/>
  <c r="F25" i="41"/>
  <c r="G25" i="41" s="1"/>
  <c r="H26" i="41" l="1"/>
  <c r="F26" i="41"/>
  <c r="G26" i="41" s="1"/>
  <c r="E27" i="41"/>
  <c r="E28" i="41" l="1"/>
  <c r="H27" i="41"/>
  <c r="F27" i="41"/>
  <c r="G27" i="41" s="1"/>
  <c r="F28" i="41" l="1"/>
  <c r="G28" i="41" s="1"/>
  <c r="E29" i="41"/>
  <c r="H28" i="41"/>
  <c r="H29" i="41" l="1"/>
  <c r="E30" i="41"/>
  <c r="F29" i="41"/>
  <c r="G29" i="41" s="1"/>
  <c r="E31" i="41" l="1"/>
  <c r="H30" i="41"/>
  <c r="F30" i="41"/>
  <c r="G30" i="41" s="1"/>
  <c r="E32" i="41" l="1"/>
  <c r="H31" i="41"/>
  <c r="F31" i="41"/>
  <c r="G31" i="41" s="1"/>
  <c r="H32" i="41" l="1"/>
  <c r="E33" i="41"/>
  <c r="F32" i="41"/>
  <c r="G32" i="41" s="1"/>
  <c r="E34" i="41" l="1"/>
  <c r="H33" i="41"/>
  <c r="F33" i="41"/>
  <c r="G33" i="41" s="1"/>
  <c r="H34" i="41" l="1"/>
  <c r="E35" i="41"/>
  <c r="F34" i="41"/>
  <c r="G34" i="41" s="1"/>
  <c r="H35" i="41" l="1"/>
  <c r="E36" i="41"/>
  <c r="F35" i="41"/>
  <c r="G35" i="41" s="1"/>
  <c r="E37" i="41" l="1"/>
  <c r="F36" i="41"/>
  <c r="G36" i="41" s="1"/>
  <c r="H36" i="41"/>
  <c r="F37" i="41" l="1"/>
  <c r="G37" i="41" s="1"/>
  <c r="H37" i="41"/>
  <c r="E38" i="41"/>
  <c r="H38" i="41" l="1"/>
  <c r="H39" i="41" s="1"/>
  <c r="F38" i="41"/>
  <c r="G38" i="41" l="1"/>
  <c r="G39" i="41" s="1"/>
  <c r="F39" i="41"/>
</calcChain>
</file>

<file path=xl/sharedStrings.xml><?xml version="1.0" encoding="utf-8"?>
<sst xmlns="http://schemas.openxmlformats.org/spreadsheetml/2006/main" count="3573" uniqueCount="1626">
  <si>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</si>
  <si>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</si>
  <si>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</si>
  <si>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</si>
  <si>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</si>
  <si>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</si>
  <si>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</si>
  <si>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</si>
  <si>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</si>
  <si>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</si>
  <si>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</si>
  <si>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</si>
  <si>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</si>
  <si>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</si>
  <si>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</si>
  <si>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</si>
  <si>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</si>
  <si>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</si>
  <si>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</si>
  <si>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</si>
  <si>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</si>
  <si>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</si>
  <si>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</si>
  <si>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</si>
  <si>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</si>
  <si>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</si>
  <si>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</si>
  <si>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</si>
  <si>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</si>
  <si>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</si>
  <si>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</si>
  <si>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</si>
  <si>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</si>
  <si>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</si>
  <si>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</si>
  <si>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</si>
  <si>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</si>
  <si>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</si>
  <si>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</si>
  <si>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</si>
  <si>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</si>
  <si>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</si>
  <si>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</si>
  <si>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</si>
  <si>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</si>
  <si>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</si>
  <si>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</si>
  <si>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</si>
  <si>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</si>
  <si>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</si>
  <si>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</si>
  <si>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</si>
  <si>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</si>
  <si>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</si>
  <si>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</si>
  <si>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</si>
  <si>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</si>
  <si>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</si>
  <si>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</si>
  <si>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</si>
  <si>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</si>
  <si>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</si>
  <si>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</si>
  <si>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</si>
  <si>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</si>
  <si>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</si>
  <si>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</si>
  <si>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</si>
  <si>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</si>
  <si>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</si>
  <si>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</si>
  <si>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</si>
  <si>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</si>
  <si>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</si>
  <si>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</si>
  <si>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</si>
  <si>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</si>
  <si>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</si>
  <si>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</si>
  <si>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</si>
  <si>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</si>
  <si>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</si>
  <si>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</si>
  <si>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</si>
  <si>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</si>
  <si>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</si>
  <si>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</si>
  <si>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</si>
  <si>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</si>
  <si>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</si>
  <si>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</si>
  <si>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</si>
  <si>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</si>
  <si>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</si>
  <si>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</si>
  <si>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</si>
  <si>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</si>
  <si>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</si>
  <si>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</si>
  <si>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</si>
  <si>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</si>
  <si>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</si>
  <si>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</si>
  <si>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</si>
  <si>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</si>
  <si>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</si>
  <si>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</si>
  <si>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</si>
  <si>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</si>
  <si>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</si>
  <si>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</si>
  <si>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</si>
  <si>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</si>
  <si>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</si>
  <si>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</si>
  <si>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</si>
  <si>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</si>
  <si>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</si>
  <si>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</si>
  <si>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</si>
  <si>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</si>
  <si>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</si>
  <si>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</si>
  <si>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</si>
  <si>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</si>
  <si>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</si>
  <si>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</si>
  <si>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</si>
  <si>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</si>
  <si>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</si>
  <si>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</si>
  <si>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</si>
  <si>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</si>
  <si>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</si>
  <si>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</si>
  <si>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</si>
  <si>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</si>
  <si>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</si>
  <si>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</si>
  <si>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</si>
  <si>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</si>
  <si>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</si>
  <si>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</si>
  <si>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</si>
  <si>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</si>
  <si>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</si>
  <si>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</si>
  <si>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</si>
  <si>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</si>
  <si>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</si>
  <si>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</si>
  <si>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</si>
  <si>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</si>
  <si>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</si>
  <si>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</si>
  <si>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</si>
  <si>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</si>
  <si>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</si>
  <si>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</si>
  <si>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</si>
  <si>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</si>
  <si>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</si>
  <si>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</si>
  <si>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</si>
  <si>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</si>
  <si>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</si>
  <si>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</si>
  <si>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</si>
  <si>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</si>
  <si>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</si>
  <si>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</si>
  <si>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</si>
  <si>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</si>
  <si>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</si>
  <si>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</si>
  <si>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</si>
  <si>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</si>
  <si>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</si>
  <si>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</si>
  <si>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</si>
  <si>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</si>
  <si>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</si>
  <si>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</si>
  <si>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</si>
  <si>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</si>
  <si>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</si>
  <si>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</si>
  <si>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</si>
  <si>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</si>
  <si>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</si>
  <si>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</si>
  <si>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</si>
  <si>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</si>
  <si>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</si>
  <si>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</si>
  <si>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</si>
  <si>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</si>
  <si>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</si>
  <si>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</si>
  <si>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</si>
  <si>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</si>
  <si>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</si>
  <si>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</si>
  <si>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</si>
  <si>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</si>
  <si>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</si>
  <si>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</si>
  <si>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</si>
  <si>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</si>
  <si>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</si>
  <si>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</si>
  <si>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</si>
  <si>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</si>
  <si>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</si>
  <si>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</si>
  <si>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</si>
  <si>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</si>
  <si>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</si>
  <si>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</si>
  <si>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</si>
  <si>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</si>
  <si>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</si>
  <si>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</si>
  <si>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</si>
  <si>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</si>
  <si>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</si>
  <si>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</si>
  <si>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</si>
  <si>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</si>
  <si>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</si>
  <si>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</si>
  <si>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</si>
  <si>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</si>
  <si>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</si>
  <si>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</si>
  <si>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</si>
  <si>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</si>
  <si>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</si>
  <si>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</si>
  <si>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</si>
  <si>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</si>
  <si>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</si>
  <si>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</si>
  <si>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</si>
  <si>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</si>
  <si>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</si>
  <si>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</si>
  <si>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</si>
  <si>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</si>
  <si>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</si>
  <si>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</si>
  <si>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</si>
  <si>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</si>
  <si>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</si>
  <si>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</si>
  <si>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</si>
  <si>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</si>
  <si>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</si>
  <si>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</si>
  <si>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</si>
  <si>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</si>
  <si>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</si>
  <si>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</si>
  <si>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</si>
  <si>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</si>
  <si>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</si>
  <si>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</si>
  <si>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</si>
  <si>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</si>
  <si>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</si>
  <si>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</si>
  <si>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</si>
  <si>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</si>
  <si>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</si>
  <si>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</si>
  <si>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</si>
  <si>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</si>
  <si>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</si>
  <si>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</si>
  <si>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</si>
  <si>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</si>
  <si>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</si>
  <si>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</si>
  <si>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</si>
  <si>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</si>
  <si>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</si>
  <si>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</si>
  <si>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</si>
  <si>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</si>
  <si>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</si>
  <si>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</si>
  <si>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</si>
  <si>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</si>
  <si>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</si>
  <si>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</si>
  <si>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</si>
  <si>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</si>
  <si>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</si>
  <si>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</si>
  <si>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</si>
  <si>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</si>
  <si>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</si>
  <si>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</si>
  <si>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</si>
  <si>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</si>
  <si>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</si>
  <si>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</si>
  <si>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</si>
  <si>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</si>
  <si>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</si>
  <si>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</si>
  <si>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</si>
  <si>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</si>
  <si>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</si>
  <si>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</si>
  <si>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</si>
  <si>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</si>
  <si>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</si>
  <si>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</si>
  <si>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</si>
  <si>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</si>
  <si>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</si>
  <si>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</si>
  <si>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</si>
  <si>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</si>
  <si>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</si>
  <si>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</si>
  <si>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</si>
  <si>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</si>
  <si>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</si>
  <si>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</si>
  <si>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</si>
  <si>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</si>
  <si>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</si>
  <si>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</si>
  <si>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</si>
  <si>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</si>
  <si>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</si>
  <si>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</si>
  <si>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</si>
  <si>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</si>
  <si>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</si>
  <si>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</si>
  <si>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</si>
  <si>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</si>
  <si>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</si>
  <si>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</si>
  <si>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</si>
  <si>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</si>
  <si>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</si>
  <si>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</si>
  <si>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</si>
  <si>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</si>
  <si>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</si>
  <si>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</si>
  <si>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</si>
  <si>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</si>
  <si>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</si>
  <si>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</si>
  <si>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</si>
  <si>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</si>
  <si>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</si>
  <si>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</si>
  <si>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</si>
  <si>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</si>
  <si>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</si>
  <si>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</si>
  <si>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</si>
  <si>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</si>
  <si>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</si>
  <si>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</si>
  <si>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</si>
  <si>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</si>
  <si>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</si>
  <si>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</si>
  <si>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</si>
  <si>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</si>
  <si>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</si>
  <si>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</si>
  <si>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</si>
  <si>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</si>
  <si>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</si>
  <si>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</si>
  <si>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</si>
  <si>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</si>
  <si>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</si>
  <si>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</si>
  <si>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</si>
  <si>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</si>
  <si>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</si>
  <si>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</si>
  <si>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</si>
  <si>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</si>
  <si>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</si>
  <si>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</si>
  <si>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</si>
  <si>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</si>
  <si>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</si>
  <si>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</si>
  <si>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</si>
  <si>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</si>
  <si>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</si>
  <si>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</si>
  <si>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</si>
  <si>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</si>
  <si>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</si>
  <si>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</si>
  <si>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</si>
  <si>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</si>
  <si>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</si>
  <si>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</si>
  <si>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</si>
  <si>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</si>
  <si>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</si>
  <si>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</si>
  <si>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</si>
  <si>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</si>
  <si>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</si>
  <si>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</si>
  <si>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</si>
  <si>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</si>
  <si>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</si>
  <si>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</si>
  <si>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</si>
  <si>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</si>
  <si>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</si>
  <si>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</si>
  <si>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</si>
  <si>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</si>
  <si>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</si>
  <si>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</si>
  <si>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</si>
  <si>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</si>
  <si>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</si>
  <si>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</si>
  <si>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</si>
  <si>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</si>
  <si>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</si>
  <si>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</si>
  <si>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</si>
  <si>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</si>
  <si>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</si>
  <si>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</si>
  <si>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</si>
  <si>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</si>
  <si>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</si>
  <si>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</si>
  <si>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</si>
  <si>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</si>
  <si>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</si>
  <si>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</si>
  <si>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</si>
  <si>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</si>
  <si>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</si>
  <si>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</si>
  <si>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</si>
  <si>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</si>
  <si>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</si>
  <si>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</si>
  <si>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</si>
  <si>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</si>
  <si>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</si>
  <si>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</si>
  <si>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</si>
  <si>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</si>
  <si>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</si>
  <si>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</si>
  <si>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</si>
  <si>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</si>
  <si>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</si>
  <si>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</si>
  <si>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</si>
  <si>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</si>
  <si>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</si>
  <si>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</si>
  <si>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</si>
  <si>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</si>
  <si>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</si>
  <si>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</si>
  <si>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</si>
  <si>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</si>
  <si>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</si>
  <si>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</si>
  <si>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</si>
  <si>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</si>
  <si>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</si>
  <si>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</si>
  <si>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</si>
  <si>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</si>
  <si>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</si>
  <si>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</si>
  <si>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</si>
  <si>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</si>
  <si>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</si>
  <si>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</si>
  <si>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</si>
  <si>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</si>
  <si>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</si>
  <si>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</si>
  <si>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</si>
  <si>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</si>
  <si>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</si>
  <si>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</si>
  <si>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</si>
  <si>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</si>
  <si>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</si>
  <si>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</si>
  <si>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</si>
  <si>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</si>
  <si>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</si>
  <si>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</si>
  <si>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</si>
  <si>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</si>
  <si>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</si>
  <si>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</si>
  <si>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</si>
  <si>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</si>
  <si>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</si>
  <si>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</si>
  <si>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</si>
  <si>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</si>
  <si>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</si>
  <si>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</si>
  <si>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</si>
  <si>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</si>
  <si>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</si>
  <si>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</si>
  <si>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</si>
  <si>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</si>
  <si>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</si>
  <si>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</si>
  <si>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</si>
  <si>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</si>
  <si>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</si>
  <si>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</si>
  <si>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</si>
  <si>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</si>
  <si>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</si>
  <si>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</si>
  <si>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</si>
  <si>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</si>
  <si>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</si>
  <si>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</si>
  <si>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</si>
  <si>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</si>
  <si>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</si>
  <si>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</si>
  <si>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</si>
  <si>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</si>
  <si>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</si>
  <si>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</si>
  <si>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</si>
  <si>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</si>
  <si>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</si>
  <si>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</si>
  <si>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</si>
  <si>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</si>
  <si>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</si>
  <si>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</si>
  <si>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</si>
  <si>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</si>
  <si>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</si>
  <si>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</si>
  <si>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</si>
  <si>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</si>
  <si>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</si>
  <si>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</si>
  <si>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</si>
  <si>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</si>
  <si>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</si>
  <si>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</si>
  <si>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</si>
  <si>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</si>
  <si>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</si>
  <si>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</si>
  <si>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</si>
  <si>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</si>
  <si>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</si>
  <si>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</si>
  <si>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</si>
  <si>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</si>
  <si>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</si>
  <si>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</si>
  <si>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</si>
  <si>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</si>
  <si>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</si>
  <si>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</si>
  <si>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</si>
  <si>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</si>
  <si>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</si>
  <si>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</si>
  <si>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</si>
  <si>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</si>
  <si>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</si>
  <si>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</si>
  <si>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</si>
  <si>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</si>
  <si>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</si>
  <si>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</si>
  <si>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</si>
  <si>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</si>
  <si>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</si>
  <si>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</si>
  <si>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</si>
  <si>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</si>
  <si>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</si>
  <si>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</si>
  <si>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</si>
  <si>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</si>
  <si>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</si>
  <si>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</si>
  <si>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</si>
  <si>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</si>
  <si>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</si>
  <si>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</si>
  <si>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</si>
  <si>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</si>
  <si>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</si>
  <si>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</si>
  <si>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</si>
  <si>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</si>
  <si>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</si>
  <si>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</si>
  <si>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</si>
  <si>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</si>
  <si>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</si>
  <si>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</si>
  <si>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</si>
  <si>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</si>
  <si>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</si>
  <si>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</si>
  <si>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</si>
  <si>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</si>
  <si>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</si>
  <si>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</si>
  <si>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</si>
  <si>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</si>
  <si>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</si>
  <si>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</si>
  <si>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</si>
  <si>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</si>
  <si>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</si>
  <si>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</si>
  <si>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</si>
  <si>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</si>
  <si>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</si>
  <si>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</si>
  <si>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</si>
  <si>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</si>
  <si>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</si>
  <si>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</si>
  <si>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</si>
  <si>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</si>
  <si>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</si>
  <si>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</si>
  <si>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</si>
  <si>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</si>
  <si>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</si>
  <si>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</si>
  <si>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</si>
  <si>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</si>
  <si>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</si>
  <si>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</si>
  <si>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</si>
  <si>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</si>
  <si>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</si>
  <si>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</si>
  <si>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</si>
  <si>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</si>
  <si>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</si>
  <si>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</si>
  <si>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</si>
  <si>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</si>
  <si>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</si>
  <si>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</si>
  <si>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</si>
  <si>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</si>
  <si>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</si>
  <si>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</si>
  <si>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</si>
  <si>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</si>
  <si>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</si>
  <si>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</si>
  <si>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</si>
  <si>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</si>
  <si>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</si>
  <si>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</si>
  <si>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</si>
  <si>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</si>
  <si>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</si>
  <si>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</si>
  <si>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</si>
  <si>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</si>
  <si>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</si>
  <si>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</si>
  <si>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</si>
  <si>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</si>
  <si>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</si>
  <si>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</si>
  <si>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</si>
  <si>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</si>
  <si>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</si>
  <si>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</si>
  <si>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</si>
  <si>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</si>
  <si>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</si>
  <si>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</si>
  <si>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</si>
  <si>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</si>
  <si>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</si>
  <si>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</si>
  <si>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</si>
  <si>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</si>
  <si>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</si>
  <si>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</si>
  <si>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</si>
  <si>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</si>
  <si>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</si>
  <si>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</si>
  <si>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</si>
  <si>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</si>
  <si>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</si>
  <si>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Transaction Security Trustee</t>
  </si>
  <si>
    <t>Account Bank</t>
  </si>
  <si>
    <t>Liquidity Reserve Amount Replenishment</t>
  </si>
  <si>
    <t>France</t>
  </si>
  <si>
    <t>Citibank, N.A. London Branch</t>
  </si>
  <si>
    <t>Citibank Europe plc, Germany Branch</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</si>
  <si>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</si>
  <si>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</si>
  <si>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</si>
  <si>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</si>
  <si>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</si>
  <si>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</si>
  <si>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</si>
  <si>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</si>
  <si>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</si>
  <si>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</si>
  <si>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</si>
  <si>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</si>
  <si>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</si>
  <si>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</si>
  <si>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</si>
  <si>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</si>
  <si>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</si>
  <si>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</si>
  <si>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</si>
  <si>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</si>
  <si>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</si>
  <si>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</si>
  <si>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</si>
  <si>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</si>
  <si>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</si>
  <si>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</si>
  <si>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Any debit of F PDL higher than EUR 0 on two consecutive Payment Dates</t>
  </si>
  <si>
    <t>Interest Swap Counterparty</t>
  </si>
  <si>
    <t>Data Trustee</t>
  </si>
  <si>
    <t>Rating Agencies</t>
  </si>
  <si>
    <t>Circumference Services S.à r.l.</t>
  </si>
  <si>
    <t>Pro Rata Payment Trigger Event</t>
  </si>
  <si>
    <t>Class A Credit Enhancement</t>
  </si>
  <si>
    <t>Saxony</t>
  </si>
  <si>
    <t>SC Germany Consumer 2024-2</t>
  </si>
  <si>
    <t>XS2903302201</t>
  </si>
  <si>
    <t>XS2903303191</t>
  </si>
  <si>
    <t>XS2903303860</t>
  </si>
  <si>
    <t>XS2903303944</t>
  </si>
  <si>
    <t>XS2903304165</t>
  </si>
  <si>
    <t>XS2903304322</t>
  </si>
  <si>
    <t xml:space="preserve">    Original Rating (DBRS / Fitch)</t>
  </si>
  <si>
    <t xml:space="preserve">    Current Rating (DBRS / Fitch)*</t>
  </si>
  <si>
    <t>AAA (sf) / AAA(sf)</t>
  </si>
  <si>
    <t>AA (sf) / AA- (sf)</t>
  </si>
  <si>
    <t>A (high) (sf) / A (sf)</t>
  </si>
  <si>
    <t>A (sf) / BBB (sf)</t>
  </si>
  <si>
    <t>BBB (sf) / BB+ (sf)</t>
  </si>
  <si>
    <t>BBB (sf) / BBB- (sf)</t>
  </si>
  <si>
    <t>- prior to or on 30 April 2025</t>
  </si>
  <si>
    <t>- from the first Payment Date in Dec 2024 until (and including) the Payment Date in May 2025</t>
  </si>
  <si>
    <t xml:space="preserve">- from the Payment Date in Jun 2025 until (and including) the Payment Date in Nov 2025 </t>
  </si>
  <si>
    <t>- from the Payment Date in Dec 2025 until (and including) the Payment Date in May 2026</t>
  </si>
  <si>
    <t>- from the Payment Date in Jun 2026 until (and including) the Payment Date in Nov 2026</t>
  </si>
  <si>
    <t>- from the Payment Date in Dec 2026 onwards</t>
  </si>
  <si>
    <t>BofA Securities Europe S.A.</t>
  </si>
  <si>
    <t>51 rue La Boétie</t>
  </si>
  <si>
    <t>75008 Paris</t>
  </si>
  <si>
    <t>HSBC Continental Europe</t>
  </si>
  <si>
    <t>38, avenue Kléber</t>
  </si>
  <si>
    <t>75116 Paris</t>
  </si>
  <si>
    <t>RBC Capital Markets (Europe) GmbH</t>
  </si>
  <si>
    <t>Taunusanlage 17</t>
  </si>
  <si>
    <t>Fitch</t>
  </si>
  <si>
    <t>Fitch Ratings, German branch</t>
  </si>
  <si>
    <t>Neue Mainzer Strasse 46-50</t>
  </si>
  <si>
    <t>60311 Frankfurt am Main</t>
  </si>
  <si>
    <t>SC GERMANY S.A., COMPARTMENT CONSUMER 2024-2</t>
  </si>
  <si>
    <t>Amounts standing to the Commingling Reserve Account*</t>
  </si>
  <si>
    <t>1mE+70bp</t>
  </si>
  <si>
    <t>1mE+110bp</t>
  </si>
  <si>
    <t>1mE+140bp</t>
  </si>
  <si>
    <t>1mE+170bp</t>
  </si>
  <si>
    <t>1mE+325bp</t>
  </si>
  <si>
    <t>1mE+197bp</t>
  </si>
  <si>
    <t>* Last rating action as of 20.11.2024</t>
  </si>
  <si>
    <t>Excess Spread equals WA Portfolio Yield minus Fixed Swap Rate minus WA Notes Margin.</t>
  </si>
  <si>
    <t>Maturity date of the notes under the assumption of inter alia (a) a 15 % constant prepayment rate, (b) an exercised Clean-Up Call at 10%.</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</si>
  <si>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</si>
  <si>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</si>
  <si>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</si>
  <si>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t>
  </si>
  <si>
    <t>F1</t>
  </si>
  <si>
    <t>BBB-</t>
  </si>
  <si>
    <t>BBB</t>
  </si>
  <si>
    <t>Amortising</t>
  </si>
  <si>
    <t>IDCONTR_PACK</t>
  </si>
  <si>
    <t>RANGE</t>
  </si>
  <si>
    <t>_FREQ_</t>
  </si>
  <si>
    <t>RANGEVAL</t>
  </si>
  <si>
    <t>0000048</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</si>
  <si>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</si>
  <si>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</si>
  <si>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</si>
  <si>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</si>
  <si>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</si>
  <si>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</si>
  <si>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</si>
  <si>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</si>
  <si>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</si>
  <si>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</si>
  <si>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</si>
  <si>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</si>
  <si>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</si>
  <si>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</si>
  <si>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</si>
  <si>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</si>
  <si>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</si>
  <si>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</si>
  <si>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</si>
  <si>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</si>
  <si>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</si>
  <si>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</si>
  <si>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</si>
  <si>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</si>
  <si>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</si>
  <si>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</si>
  <si>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</si>
  <si>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</si>
  <si>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</si>
  <si>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</si>
  <si>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</si>
  <si>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</si>
  <si>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</si>
  <si>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</si>
  <si>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</si>
  <si>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</si>
  <si>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</si>
  <si>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</si>
  <si>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</si>
  <si>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</si>
  <si>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</si>
  <si>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</si>
  <si>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</si>
  <si>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</si>
  <si>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</si>
  <si>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</si>
  <si>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</si>
  <si>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</si>
  <si>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</si>
  <si>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</si>
  <si>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</si>
  <si>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</si>
  <si>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</si>
  <si>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</si>
  <si>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</si>
  <si>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</si>
  <si>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</si>
  <si>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</si>
  <si>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</si>
  <si>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</si>
  <si>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</si>
  <si>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</si>
  <si>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</si>
  <si>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</si>
  <si>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</si>
  <si>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</si>
  <si>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</si>
  <si>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</si>
  <si>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</si>
  <si>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</si>
  <si>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</si>
  <si>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</si>
  <si>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</si>
  <si>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</si>
  <si>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</si>
  <si>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</si>
  <si>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</si>
  <si>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</si>
  <si>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</si>
  <si>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</si>
  <si>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</si>
  <si>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</si>
  <si>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</si>
  <si>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</si>
  <si>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</si>
  <si>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</si>
  <si>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</si>
  <si>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</si>
  <si>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</si>
  <si>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</si>
  <si>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</si>
  <si>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</si>
  <si>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</si>
  <si>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</si>
  <si>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</si>
  <si>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</si>
  <si>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</si>
  <si>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</si>
  <si>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</si>
  <si>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</si>
  <si>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</si>
  <si>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</si>
  <si>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</si>
  <si>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</si>
  <si>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</si>
  <si>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</si>
  <si>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</si>
  <si>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</si>
  <si>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</si>
  <si>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48</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</si>
  <si>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</si>
  <si>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</si>
  <si>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</si>
  <si>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</si>
  <si>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</si>
  <si>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</si>
  <si>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</si>
  <si>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</si>
  <si>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</si>
  <si>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</si>
  <si>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</si>
  <si>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</si>
  <si>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</si>
  <si>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</si>
  <si>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</si>
  <si>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</si>
  <si>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</si>
  <si>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</si>
  <si>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</si>
  <si>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</si>
  <si>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</si>
  <si>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</si>
  <si>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</si>
  <si>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</si>
  <si>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</si>
  <si>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</si>
  <si>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</si>
  <si>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</si>
  <si>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</si>
  <si>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</si>
  <si>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</si>
  <si>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</si>
  <si>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</si>
  <si>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</si>
  <si>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</si>
  <si>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</si>
  <si>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</si>
  <si>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</si>
  <si>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</si>
  <si>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</si>
  <si>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</si>
  <si>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</si>
  <si>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</si>
  <si>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</si>
  <si>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</si>
  <si>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</si>
  <si>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</si>
  <si>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</si>
  <si>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</si>
  <si>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</si>
  <si>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</si>
  <si>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</si>
  <si>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</si>
  <si>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</si>
  <si>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</si>
  <si>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</si>
  <si>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</si>
  <si>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</si>
  <si>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</si>
  <si>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</si>
  <si>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</si>
  <si>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</si>
  <si>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</si>
  <si>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</si>
  <si>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</si>
  <si>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</si>
  <si>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</si>
  <si>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</si>
  <si>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</si>
  <si>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</si>
  <si>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</si>
  <si>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</si>
  <si>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</si>
  <si>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</si>
  <si>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</si>
  <si>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</si>
  <si>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</si>
  <si>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</si>
  <si>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</si>
  <si>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</si>
  <si>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</si>
  <si>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</si>
  <si>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</si>
  <si>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</si>
  <si>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</si>
  <si>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</si>
  <si>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</si>
  <si>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</si>
  <si>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</si>
  <si>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</si>
  <si>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</si>
  <si>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</si>
  <si>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</si>
  <si>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</si>
  <si>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</si>
  <si>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</si>
  <si>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</si>
  <si>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</si>
  <si>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</si>
  <si>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</si>
  <si>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</si>
  <si>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</si>
  <si>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</si>
  <si>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</si>
  <si>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</si>
  <si>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</si>
  <si>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</si>
  <si>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</si>
  <si>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</si>
  <si>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</si>
  <si>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</si>
  <si>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</si>
  <si>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</si>
  <si>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</si>
  <si>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</si>
  <si>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</si>
  <si>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</si>
  <si>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</si>
  <si>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</si>
  <si>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</si>
  <si>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</si>
  <si>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</si>
  <si>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</si>
  <si>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</si>
  <si>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</si>
  <si>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</si>
  <si>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</si>
  <si>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</si>
  <si>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</si>
  <si>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</si>
  <si>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</si>
  <si>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</si>
  <si>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</si>
  <si>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</si>
  <si>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</si>
  <si>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</si>
  <si>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</si>
  <si>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</si>
  <si>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</si>
  <si>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</si>
  <si>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</si>
  <si>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</si>
  <si>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</si>
  <si>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</si>
  <si>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</si>
  <si>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</si>
  <si>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</si>
  <si>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</si>
  <si>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</si>
  <si>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</si>
  <si>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</si>
  <si>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</si>
  <si>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</si>
  <si>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</si>
  <si>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</si>
  <si>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</si>
  <si>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</si>
  <si>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</si>
  <si>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</si>
  <si>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</si>
  <si>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</si>
  <si>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</si>
  <si>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</si>
  <si>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</si>
  <si>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</si>
  <si>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</si>
  <si>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</si>
  <si>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</si>
  <si>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</si>
  <si>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</si>
  <si>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</si>
  <si>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</si>
  <si>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</si>
  <si>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</si>
  <si>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</si>
  <si>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</si>
  <si>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</si>
  <si>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</si>
  <si>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</si>
  <si>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</si>
  <si>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</si>
  <si>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</si>
  <si>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</si>
  <si>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</si>
  <si>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</si>
  <si>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</si>
  <si>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</si>
  <si>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</si>
  <si>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</si>
  <si>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</si>
  <si>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</si>
  <si>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</si>
  <si>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</si>
  <si>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</si>
  <si>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</si>
  <si>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</si>
  <si>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</si>
  <si>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</si>
  <si>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</si>
  <si>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</si>
  <si>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</si>
  <si>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</si>
  <si>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</si>
  <si>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</si>
  <si>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</si>
  <si>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</si>
  <si>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</si>
  <si>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</si>
  <si>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</si>
  <si>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</si>
  <si>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</si>
  <si>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</si>
  <si>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</si>
  <si>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</si>
  <si>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</si>
  <si>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</si>
  <si>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</si>
  <si>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</si>
  <si>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</si>
  <si>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</si>
  <si>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</si>
  <si>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</si>
  <si>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</si>
  <si>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</si>
  <si>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</si>
  <si>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</si>
  <si>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</si>
  <si>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</si>
  <si>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</si>
  <si>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</si>
  <si>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</si>
  <si>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</si>
  <si>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</si>
  <si>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</si>
  <si>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</si>
  <si>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</si>
  <si>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</si>
  <si>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</si>
  <si>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</si>
  <si>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</si>
  <si>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</si>
  <si>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</si>
  <si>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</si>
  <si>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</si>
  <si>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</si>
  <si>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</si>
  <si>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</si>
  <si>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</si>
  <si>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</si>
  <si>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</si>
  <si>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</si>
  <si>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</si>
  <si>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</si>
  <si>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</si>
  <si>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</si>
  <si>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</si>
  <si>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</si>
  <si>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</si>
  <si>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</si>
  <si>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</si>
  <si>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</si>
  <si>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</si>
  <si>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</si>
  <si>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</si>
  <si>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</si>
  <si>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</si>
  <si>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</si>
  <si>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</si>
  <si>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</si>
  <si>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</si>
  <si>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</si>
  <si>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</si>
  <si>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</si>
  <si>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</si>
  <si>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</si>
  <si>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</si>
  <si>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</si>
  <si>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</si>
  <si>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</si>
  <si>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</si>
  <si>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</si>
  <si>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</si>
  <si>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</si>
  <si>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</si>
  <si>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</si>
  <si>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</si>
  <si>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</si>
  <si>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</si>
  <si>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</si>
  <si>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</si>
  <si>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</si>
  <si>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</si>
  <si>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</si>
  <si>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</si>
  <si>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</si>
  <si>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</si>
  <si>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</si>
  <si>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</si>
  <si>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</si>
  <si>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</si>
  <si>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</si>
  <si>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</si>
  <si>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</si>
  <si>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</si>
  <si>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</si>
  <si>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</si>
  <si>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</si>
  <si>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</si>
  <si>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</si>
  <si>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</si>
  <si>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</si>
  <si>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</si>
  <si>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</si>
  <si>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</si>
  <si>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</si>
  <si>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</si>
  <si>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</si>
  <si>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</si>
  <si>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</si>
  <si>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</si>
  <si>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</si>
  <si>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</si>
  <si>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</si>
  <si>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</si>
  <si>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</si>
  <si>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</si>
  <si>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</si>
  <si>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</si>
  <si>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</si>
  <si>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</si>
  <si>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</si>
  <si>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</si>
  <si>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</si>
  <si>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</si>
  <si>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</si>
  <si>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</si>
  <si>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</si>
  <si>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</si>
  <si>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</si>
  <si>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</si>
  <si>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</si>
  <si>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</si>
  <si>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</si>
  <si>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</si>
  <si>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</si>
  <si>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</si>
  <si>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</si>
  <si>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</si>
  <si>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</si>
  <si>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</si>
  <si>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</si>
  <si>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</si>
  <si>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</si>
  <si>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</si>
  <si>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</si>
  <si>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</si>
  <si>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</si>
  <si>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</si>
  <si>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</si>
  <si>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</si>
  <si>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</si>
  <si>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</si>
  <si>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</si>
  <si>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</si>
  <si>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</si>
  <si>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</si>
  <si>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</si>
  <si>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</si>
  <si>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</si>
  <si>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</si>
  <si>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</si>
  <si>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</si>
  <si>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</si>
  <si>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</si>
  <si>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</si>
  <si>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</si>
  <si>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</si>
  <si>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</si>
  <si>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</si>
  <si>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</si>
  <si>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</si>
  <si>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</si>
  <si>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</si>
  <si>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</si>
  <si>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</si>
  <si>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</si>
  <si>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</si>
  <si>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</si>
  <si>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</si>
  <si>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</si>
  <si>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</si>
  <si>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</si>
  <si>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</si>
  <si>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</si>
  <si>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</si>
  <si>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</si>
  <si>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</si>
  <si>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</si>
  <si>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</si>
  <si>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</si>
  <si>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</si>
  <si>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</si>
  <si>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</si>
  <si>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</si>
  <si>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</si>
  <si>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</si>
  <si>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</si>
  <si>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</si>
  <si>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</si>
  <si>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</si>
  <si>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</si>
  <si>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</si>
  <si>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</si>
  <si>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</si>
  <si>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</si>
  <si>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</si>
  <si>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</si>
  <si>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</si>
  <si>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</si>
  <si>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</si>
  <si>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</si>
  <si>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</si>
  <si>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</si>
  <si>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</si>
  <si>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</si>
  <si>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</si>
  <si>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</si>
  <si>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</si>
  <si>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</si>
  <si>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</si>
  <si>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</si>
  <si>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</si>
  <si>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</si>
  <si>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</si>
  <si>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</si>
  <si>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</si>
  <si>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</si>
  <si>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</si>
  <si>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</si>
  <si>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</si>
  <si>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</si>
  <si>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</si>
  <si>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</si>
  <si>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</si>
  <si>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</si>
  <si>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</si>
  <si>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</si>
  <si>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</si>
  <si>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</si>
  <si>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</si>
  <si>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</si>
  <si>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</si>
  <si>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</si>
  <si>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</si>
  <si>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</si>
  <si>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</si>
  <si>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</si>
  <si>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</si>
  <si>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</si>
  <si>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</si>
  <si>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</si>
  <si>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</si>
  <si>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</si>
  <si>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</si>
  <si>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</si>
  <si>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</si>
  <si>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</si>
  <si>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</si>
  <si>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</si>
  <si>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</si>
  <si>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</si>
  <si>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</si>
  <si>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</si>
  <si>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</si>
  <si>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</si>
  <si>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</si>
  <si>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</si>
  <si>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</si>
  <si>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</si>
  <si>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</si>
  <si>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</si>
  <si>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</si>
  <si>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</si>
  <si>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</si>
  <si>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</si>
  <si>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</si>
  <si>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</si>
  <si>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</si>
  <si>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</si>
  <si>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</si>
  <si>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</si>
  <si>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</si>
  <si>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</si>
  <si>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</si>
  <si>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</si>
  <si>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</si>
  <si>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</si>
  <si>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</si>
  <si>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</si>
  <si>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</si>
  <si>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</si>
  <si>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</si>
  <si>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</si>
  <si>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</si>
  <si>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</si>
  <si>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</si>
  <si>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</si>
  <si>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</si>
  <si>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</si>
  <si>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</si>
  <si>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</si>
  <si>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</si>
  <si>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</si>
  <si>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</si>
  <si>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</si>
  <si>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</si>
  <si>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</si>
  <si>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</si>
  <si>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</si>
  <si>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</si>
  <si>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</si>
  <si>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</si>
  <si>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</si>
  <si>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</si>
  <si>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</si>
  <si>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</si>
  <si>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</si>
  <si>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</si>
  <si>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</si>
  <si>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</si>
  <si>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</si>
  <si>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</si>
  <si>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</si>
  <si>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</si>
  <si>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</si>
  <si>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</si>
  <si>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</si>
  <si>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</si>
  <si>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</si>
  <si>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</si>
  <si>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</si>
  <si>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</si>
  <si>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</si>
  <si>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</si>
  <si>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</si>
  <si>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</si>
  <si>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</si>
  <si>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</si>
  <si>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</si>
  <si>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</si>
  <si>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</si>
  <si>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</si>
  <si>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</si>
  <si>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</si>
  <si>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</si>
  <si>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</si>
  <si>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</si>
  <si>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</si>
  <si>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</si>
  <si>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</si>
  <si>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</si>
  <si>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</si>
  <si>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</si>
  <si>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</si>
  <si>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</si>
  <si>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</si>
  <si>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</si>
  <si>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</si>
  <si>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</si>
  <si>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</si>
  <si>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</si>
  <si>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</si>
  <si>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</si>
  <si>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</si>
  <si>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</si>
  <si>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</si>
  <si>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</si>
  <si>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</si>
  <si>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</si>
  <si>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</si>
  <si>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</si>
  <si>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</si>
  <si>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</si>
  <si>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</si>
  <si>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</si>
  <si>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</si>
  <si>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</si>
  <si>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</si>
  <si>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</si>
  <si>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</si>
  <si>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</si>
  <si>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</si>
  <si>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</si>
  <si>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</si>
  <si>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</si>
  <si>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</si>
  <si>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</si>
  <si>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</si>
  <si>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</si>
  <si>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</si>
  <si>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</si>
  <si>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</si>
  <si>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</si>
  <si>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</si>
  <si>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</si>
  <si>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</si>
  <si>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</si>
  <si>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</si>
  <si>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</si>
  <si>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</si>
  <si>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</si>
  <si>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</si>
  <si>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</si>
  <si>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</si>
  <si>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</si>
  <si>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</si>
  <si>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</si>
  <si>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</si>
  <si>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</si>
  <si>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</si>
  <si>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</si>
  <si>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</si>
  <si>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</si>
  <si>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</si>
  <si>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</si>
  <si>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</si>
  <si>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</si>
  <si>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</si>
  <si>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</si>
  <si>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</si>
  <si>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</si>
  <si>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</si>
  <si>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</si>
  <si>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</si>
  <si>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</si>
  <si>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</si>
  <si>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</si>
  <si>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</si>
  <si>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</si>
  <si>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</si>
  <si>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</si>
  <si>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</si>
  <si>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</si>
  <si>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</si>
  <si>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</si>
  <si>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</si>
  <si>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</si>
  <si>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</si>
  <si>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</si>
  <si>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</si>
  <si>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</si>
  <si>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</si>
  <si>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</si>
  <si>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</si>
  <si>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</si>
  <si>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</si>
  <si>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</si>
  <si>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</si>
  <si>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</si>
  <si>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</si>
  <si>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</si>
  <si>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</si>
  <si>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</si>
  <si>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</si>
  <si>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</si>
  <si>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Aa3(cr)</t>
  </si>
  <si>
    <t>P-1(cr)</t>
  </si>
  <si>
    <t>A+</t>
  </si>
  <si>
    <t>AAL</t>
  </si>
  <si>
    <t>Aa3</t>
  </si>
  <si>
    <t>A1</t>
  </si>
  <si>
    <t>AA-</t>
  </si>
  <si>
    <t>AA-(dcr)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</si>
  <si>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</si>
  <si>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</si>
  <si>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</si>
  <si>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</si>
  <si>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</si>
  <si>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</si>
  <si>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</si>
  <si>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</si>
  <si>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</si>
  <si>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</si>
  <si>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</si>
  <si>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</si>
  <si>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</si>
  <si>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</si>
  <si>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</si>
  <si>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</si>
  <si>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30.06.2025, data source: Bloomberg</t>
  </si>
  <si>
    <t>A1(cr)</t>
  </si>
  <si>
    <t>AAA (sf)/AAA (sf)</t>
  </si>
  <si>
    <t>AA (sf)/AA- (sf)</t>
  </si>
  <si>
    <t>A (high) (sf)/A (sf)</t>
  </si>
  <si>
    <t>A (sf)/BBB (sf)</t>
  </si>
  <si>
    <t>BBB (sf)/BB+ (sf)</t>
  </si>
  <si>
    <t>BBB (sf)/BBB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</si>
</sst>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9]mmm\ yyyy"/>
    <numFmt numFmtId="188" formatCode="_(* #,##0_);_(* \(#,##0\);_(* &quot;-&quot;??_);_(@_)"/>
    <numFmt numFmtId="189" formatCode="#,##0.00000"/>
    <numFmt numFmtId="190" formatCode="0.00000"/>
    <numFmt numFmtId="191" formatCode="0.000000"/>
  </numFmts>
  <fonts count="85">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29">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9" fillId="0" borderId="7" xfId="0" applyFont="1" applyBorder="1" applyAlignment="1">
      <alignment horizontal="right" vertical="center"/>
    </xf>
    <xf numFmtId="0" fontId="7" fillId="0" borderId="0" xfId="0" applyFont="1"/>
    <xf numFmtId="0" fontId="2"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7"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7" fillId="0" borderId="18" xfId="23" applyFont="1" applyBorder="1" applyAlignment="1">
      <alignment vertical="center"/>
    </xf>
    <xf numFmtId="0" fontId="2" fillId="0" borderId="42" xfId="23" applyBorder="1" applyAlignment="1">
      <alignment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8"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89"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177" fontId="2" fillId="0" borderId="0" xfId="119" applyNumberFormat="1" applyFont="1" applyFill="1" applyBorder="1" applyAlignment="1">
      <alignment horizontal="center" vertical="center"/>
    </xf>
    <xf numFmtId="0" fontId="7" fillId="0" borderId="60" xfId="23" applyFont="1" applyBorder="1" applyAlignment="1">
      <alignment horizontal="center" vertical="center"/>
    </xf>
    <xf numFmtId="0" fontId="7" fillId="0" borderId="11" xfId="23" applyFont="1" applyBorder="1" applyAlignment="1">
      <alignment horizontal="center" vertical="center"/>
    </xf>
    <xf numFmtId="44" fontId="0" fillId="0" borderId="0" xfId="119"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2" fillId="0" borderId="41" xfId="23" applyBorder="1" applyAlignment="1">
      <alignment horizontal="center" vertical="center"/>
    </xf>
    <xf numFmtId="168" fontId="2" fillId="0" borderId="0" xfId="9" applyNumberFormat="1" applyFont="1" applyAlignment="1">
      <alignment horizontal="right" vertical="center"/>
    </xf>
    <xf numFmtId="44" fontId="2" fillId="0" borderId="0" xfId="9" applyNumberFormat="1" applyFont="1" applyAlignment="1">
      <alignment horizontal="right" vertical="center"/>
    </xf>
    <xf numFmtId="15" fontId="0" fillId="0" borderId="0" xfId="0" applyNumberFormat="1"/>
    <xf numFmtId="0" fontId="2" fillId="0" borderId="38" xfId="0" applyFont="1" applyBorder="1" applyAlignment="1">
      <alignment horizontal="center" vertical="center"/>
    </xf>
    <xf numFmtId="0" fontId="2" fillId="0" borderId="38" xfId="0" applyFont="1" applyBorder="1" applyAlignment="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horizontal="right" vertical="center"/>
    </xf>
    <xf numFmtId="10" fontId="2" fillId="0" borderId="69" xfId="17" applyNumberFormat="1"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6" xfId="0" applyNumberFormat="1" applyFont="1" applyBorder="1" applyAlignment="1">
      <alignment horizontal="right" vertical="center"/>
    </xf>
    <xf numFmtId="187" fontId="2" fillId="2" borderId="0" xfId="23" applyNumberFormat="1" applyFill="1" applyAlignment="1">
      <alignment horizontal="center" vertical="center"/>
    </xf>
    <xf numFmtId="187" fontId="2" fillId="0" borderId="0" xfId="0" applyNumberFormat="1" applyFont="1" applyAlignment="1">
      <alignment vertical="center"/>
    </xf>
    <xf numFmtId="168" fontId="2" fillId="0" borderId="2" xfId="23" applyNumberFormat="1" applyBorder="1" applyAlignment="1">
      <alignment vertical="center"/>
    </xf>
    <xf numFmtId="0" fontId="9" fillId="29" borderId="0" xfId="49" applyFont="1" applyFill="1" applyAlignment="1">
      <alignment horizontal="center" vertical="center"/>
    </xf>
    <xf numFmtId="10" fontId="7" fillId="0" borderId="58" xfId="23" applyNumberFormat="1" applyFont="1" applyFill="1" applyBorder="1" applyAlignment="1">
      <alignment horizontal="center" vertical="center"/>
    </xf>
    <xf numFmtId="190" fontId="2" fillId="0" borderId="0" xfId="0" applyNumberFormat="1" applyFont="1" applyAlignment="1">
      <alignment vertical="center"/>
    </xf>
    <xf numFmtId="191" fontId="2" fillId="0" borderId="0" xfId="0" applyNumberFormat="1" applyFont="1" applyAlignment="1">
      <alignment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187" fontId="2" fillId="2" borderId="0" xfId="0" applyNumberFormat="1" applyFont="1" applyFill="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xf numFmtId="187" fontId="2" fillId="27" borderId="0" xfId="0" applyNumberFormat="1"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1844936.7499999981</c:v>
                </c:pt>
                <c:pt idx="1">
                  <c:v>11016413.860000081</c:v>
                </c:pt>
                <c:pt idx="2">
                  <c:v>22888157.049999863</c:v>
                </c:pt>
                <c:pt idx="3">
                  <c:v>30378489.959999721</c:v>
                </c:pt>
                <c:pt idx="4">
                  <c:v>27969515.819999848</c:v>
                </c:pt>
                <c:pt idx="5">
                  <c:v>42372202.739999697</c:v>
                </c:pt>
                <c:pt idx="6">
                  <c:v>32480969.649999995</c:v>
                </c:pt>
                <c:pt idx="7">
                  <c:v>40024239.219999686</c:v>
                </c:pt>
                <c:pt idx="8">
                  <c:v>30804326.699999984</c:v>
                </c:pt>
                <c:pt idx="9">
                  <c:v>29943505.670000028</c:v>
                </c:pt>
                <c:pt idx="10">
                  <c:v>47761372.140000403</c:v>
                </c:pt>
                <c:pt idx="11">
                  <c:v>32830311.17000005</c:v>
                </c:pt>
                <c:pt idx="12">
                  <c:v>41692304.409999996</c:v>
                </c:pt>
                <c:pt idx="13">
                  <c:v>36642251.869999811</c:v>
                </c:pt>
                <c:pt idx="14">
                  <c:v>31870057.990000006</c:v>
                </c:pt>
                <c:pt idx="15">
                  <c:v>47401169.269999787</c:v>
                </c:pt>
                <c:pt idx="16">
                  <c:v>31043734.280000065</c:v>
                </c:pt>
                <c:pt idx="17">
                  <c:v>37078745.100000046</c:v>
                </c:pt>
                <c:pt idx="18">
                  <c:v>32554254.250000145</c:v>
                </c:pt>
                <c:pt idx="19">
                  <c:v>31364320.559999999</c:v>
                </c:pt>
                <c:pt idx="20">
                  <c:v>34438469.510000005</c:v>
                </c:pt>
                <c:pt idx="21">
                  <c:v>31072680.610000037</c:v>
                </c:pt>
                <c:pt idx="22">
                  <c:v>28769900.649999972</c:v>
                </c:pt>
                <c:pt idx="23">
                  <c:v>27212436.160000026</c:v>
                </c:pt>
                <c:pt idx="24">
                  <c:v>22055048.48999998</c:v>
                </c:pt>
                <c:pt idx="25">
                  <c:v>33270045.470000006</c:v>
                </c:pt>
                <c:pt idx="26">
                  <c:v>27300445.690000031</c:v>
                </c:pt>
                <c:pt idx="27">
                  <c:v>22365974.559999999</c:v>
                </c:pt>
                <c:pt idx="28">
                  <c:v>19830864.739999995</c:v>
                </c:pt>
                <c:pt idx="29">
                  <c:v>17350335.100000013</c:v>
                </c:pt>
                <c:pt idx="30">
                  <c:v>16877350.669999994</c:v>
                </c:pt>
                <c:pt idx="31">
                  <c:v>16000322.039999992</c:v>
                </c:pt>
                <c:pt idx="32">
                  <c:v>13008161.479999987</c:v>
                </c:pt>
                <c:pt idx="33">
                  <c:v>11193418.300000003</c:v>
                </c:pt>
                <c:pt idx="34">
                  <c:v>11930526.710000006</c:v>
                </c:pt>
                <c:pt idx="35">
                  <c:v>11095407.619999994</c:v>
                </c:pt>
                <c:pt idx="36">
                  <c:v>12705017.839999994</c:v>
                </c:pt>
                <c:pt idx="37">
                  <c:v>18506497.190000001</c:v>
                </c:pt>
                <c:pt idx="38">
                  <c:v>8321454.5399999991</c:v>
                </c:pt>
                <c:pt idx="39">
                  <c:v>13243095.320000025</c:v>
                </c:pt>
                <c:pt idx="40">
                  <c:v>10122040.210000005</c:v>
                </c:pt>
                <c:pt idx="41">
                  <c:v>8047037.7199999997</c:v>
                </c:pt>
                <c:pt idx="42">
                  <c:v>7560451.3800000027</c:v>
                </c:pt>
                <c:pt idx="43">
                  <c:v>3823869.95</c:v>
                </c:pt>
                <c:pt idx="44">
                  <c:v>2217802.25</c:v>
                </c:pt>
                <c:pt idx="45">
                  <c:v>910128.32</c:v>
                </c:pt>
                <c:pt idx="46">
                  <c:v>928026.11999999988</c:v>
                </c:pt>
                <c:pt idx="47">
                  <c:v>376867.74</c:v>
                </c:pt>
                <c:pt idx="48">
                  <c:v>192511.51</c:v>
                </c:pt>
                <c:pt idx="49">
                  <c:v>297584.40000000002</c:v>
                </c:pt>
                <c:pt idx="50">
                  <c:v>437781.72000000003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4007312.180000003</c:v>
                </c:pt>
                <c:pt idx="1">
                  <c:v>12922022.339999994</c:v>
                </c:pt>
                <c:pt idx="2">
                  <c:v>23753946.420000006</c:v>
                </c:pt>
                <c:pt idx="3">
                  <c:v>29005789.639999967</c:v>
                </c:pt>
                <c:pt idx="4">
                  <c:v>38231753.939999931</c:v>
                </c:pt>
                <c:pt idx="5">
                  <c:v>29655435.16</c:v>
                </c:pt>
                <c:pt idx="6">
                  <c:v>33046532.67000002</c:v>
                </c:pt>
                <c:pt idx="7">
                  <c:v>32207167.600000001</c:v>
                </c:pt>
                <c:pt idx="8">
                  <c:v>34191931.399999976</c:v>
                </c:pt>
                <c:pt idx="9">
                  <c:v>40499570.430000059</c:v>
                </c:pt>
                <c:pt idx="10">
                  <c:v>31999561.429999966</c:v>
                </c:pt>
                <c:pt idx="11">
                  <c:v>40236662.160000019</c:v>
                </c:pt>
                <c:pt idx="12">
                  <c:v>34314043.31000001</c:v>
                </c:pt>
                <c:pt idx="13">
                  <c:v>35532454.189999983</c:v>
                </c:pt>
                <c:pt idx="14">
                  <c:v>37018215.029999949</c:v>
                </c:pt>
                <c:pt idx="15">
                  <c:v>32714268.050000038</c:v>
                </c:pt>
                <c:pt idx="16">
                  <c:v>33843358.479999945</c:v>
                </c:pt>
                <c:pt idx="17">
                  <c:v>32772828.909999974</c:v>
                </c:pt>
                <c:pt idx="18">
                  <c:v>32133182.639999986</c:v>
                </c:pt>
                <c:pt idx="19">
                  <c:v>29911580.240000021</c:v>
                </c:pt>
                <c:pt idx="20">
                  <c:v>28633312.900000006</c:v>
                </c:pt>
                <c:pt idx="21">
                  <c:v>25929874.800000008</c:v>
                </c:pt>
                <c:pt idx="22">
                  <c:v>27175135.019999988</c:v>
                </c:pt>
                <c:pt idx="23">
                  <c:v>28177653.82000003</c:v>
                </c:pt>
                <c:pt idx="24">
                  <c:v>22378174.369999997</c:v>
                </c:pt>
                <c:pt idx="25">
                  <c:v>18983531.130000003</c:v>
                </c:pt>
                <c:pt idx="26">
                  <c:v>18476047.059999991</c:v>
                </c:pt>
                <c:pt idx="27">
                  <c:v>18702374.619999997</c:v>
                </c:pt>
                <c:pt idx="28">
                  <c:v>14127455.309999995</c:v>
                </c:pt>
                <c:pt idx="29">
                  <c:v>13808007.330000006</c:v>
                </c:pt>
                <c:pt idx="30">
                  <c:v>10966355.940000003</c:v>
                </c:pt>
                <c:pt idx="31">
                  <c:v>13232895.439999992</c:v>
                </c:pt>
                <c:pt idx="32">
                  <c:v>11256318.210000001</c:v>
                </c:pt>
                <c:pt idx="33">
                  <c:v>12803770.810000008</c:v>
                </c:pt>
                <c:pt idx="34">
                  <c:v>12490575.879999999</c:v>
                </c:pt>
                <c:pt idx="35">
                  <c:v>12409002.490000008</c:v>
                </c:pt>
                <c:pt idx="36">
                  <c:v>8828982.5099999979</c:v>
                </c:pt>
                <c:pt idx="37">
                  <c:v>8097627.7700000042</c:v>
                </c:pt>
                <c:pt idx="38">
                  <c:v>6460230.5899999989</c:v>
                </c:pt>
                <c:pt idx="39">
                  <c:v>6626414.7300000004</c:v>
                </c:pt>
                <c:pt idx="40">
                  <c:v>6544910.4399999985</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126849749.34000008</c:v>
                </c:pt>
                <c:pt idx="1">
                  <c:v>121003118.29999989</c:v>
                </c:pt>
                <c:pt idx="2">
                  <c:v>39036388.730000004</c:v>
                </c:pt>
                <c:pt idx="3">
                  <c:v>36506410.06000004</c:v>
                </c:pt>
                <c:pt idx="4">
                  <c:v>8373769.8199999947</c:v>
                </c:pt>
                <c:pt idx="5">
                  <c:v>17602316.539999999</c:v>
                </c:pt>
                <c:pt idx="6">
                  <c:v>70696416.519999996</c:v>
                </c:pt>
                <c:pt idx="7">
                  <c:v>99247045.079999909</c:v>
                </c:pt>
                <c:pt idx="8">
                  <c:v>26649937.259999976</c:v>
                </c:pt>
                <c:pt idx="9">
                  <c:v>205899907.32999986</c:v>
                </c:pt>
                <c:pt idx="10">
                  <c:v>51914546.6300001</c:v>
                </c:pt>
                <c:pt idx="11">
                  <c:v>14535086.42</c:v>
                </c:pt>
                <c:pt idx="12">
                  <c:v>38148858.900000006</c:v>
                </c:pt>
                <c:pt idx="13">
                  <c:v>30510903.760000028</c:v>
                </c:pt>
                <c:pt idx="14">
                  <c:v>32050524.599999946</c:v>
                </c:pt>
                <c:pt idx="15">
                  <c:v>24871101.269999973</c:v>
                </c:pt>
                <c:pt idx="16">
                  <c:v>210186.83000000002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98239.67</c:v>
                </c:pt>
                <c:pt idx="1">
                  <c:v>169919.51999999996</c:v>
                </c:pt>
                <c:pt idx="2">
                  <c:v>2444305.5599999996</c:v>
                </c:pt>
                <c:pt idx="3">
                  <c:v>1877548.7599999993</c:v>
                </c:pt>
                <c:pt idx="4">
                  <c:v>8088629.0000000037</c:v>
                </c:pt>
                <c:pt idx="5">
                  <c:v>32375475.570000011</c:v>
                </c:pt>
                <c:pt idx="6">
                  <c:v>74610175.509999752</c:v>
                </c:pt>
                <c:pt idx="7">
                  <c:v>160177043.57999942</c:v>
                </c:pt>
                <c:pt idx="8">
                  <c:v>232127679.74999961</c:v>
                </c:pt>
                <c:pt idx="9">
                  <c:v>242694556.20000023</c:v>
                </c:pt>
                <c:pt idx="10">
                  <c:v>102087665.69000027</c:v>
                </c:pt>
                <c:pt idx="11">
                  <c:v>60164032.850000016</c:v>
                </c:pt>
                <c:pt idx="12">
                  <c:v>17908103.829999972</c:v>
                </c:pt>
                <c:pt idx="13">
                  <c:v>9282891.9000000041</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16673821.819999993</c:v>
                </c:pt>
                <c:pt idx="2">
                  <c:v>61354669.910000071</c:v>
                </c:pt>
                <c:pt idx="3">
                  <c:v>398633864.06000048</c:v>
                </c:pt>
                <c:pt idx="4">
                  <c:v>324582045.09999967</c:v>
                </c:pt>
                <c:pt idx="5">
                  <c:v>86294903.519999862</c:v>
                </c:pt>
                <c:pt idx="6">
                  <c:v>11960354.470000008</c:v>
                </c:pt>
                <c:pt idx="7">
                  <c:v>17618287.860000003</c:v>
                </c:pt>
                <c:pt idx="8">
                  <c:v>11365151.169999994</c:v>
                </c:pt>
                <c:pt idx="9">
                  <c:v>5517576.049999997</c:v>
                </c:pt>
                <c:pt idx="10">
                  <c:v>2790136.9000000004</c:v>
                </c:pt>
                <c:pt idx="11">
                  <c:v>2442933.620000001</c:v>
                </c:pt>
                <c:pt idx="12">
                  <c:v>1767909.95</c:v>
                </c:pt>
                <c:pt idx="13">
                  <c:v>1251803.03</c:v>
                </c:pt>
                <c:pt idx="14">
                  <c:v>596914.92999999993</c:v>
                </c:pt>
                <c:pt idx="15">
                  <c:v>329513.78000000003</c:v>
                </c:pt>
                <c:pt idx="16">
                  <c:v>178220.85000000003</c:v>
                </c:pt>
                <c:pt idx="17">
                  <c:v>229811.72999999998</c:v>
                </c:pt>
                <c:pt idx="18">
                  <c:v>218731.37999999998</c:v>
                </c:pt>
                <c:pt idx="19">
                  <c:v>98523.34</c:v>
                </c:pt>
                <c:pt idx="20">
                  <c:v>14742.35</c:v>
                </c:pt>
                <c:pt idx="21">
                  <c:v>80516.37</c:v>
                </c:pt>
                <c:pt idx="22">
                  <c:v>20056.649999999998</c:v>
                </c:pt>
                <c:pt idx="23">
                  <c:v>29015.54</c:v>
                </c:pt>
                <c:pt idx="24">
                  <c:v>3637.04</c:v>
                </c:pt>
                <c:pt idx="25">
                  <c:v>27983.360000000001</c:v>
                </c:pt>
                <c:pt idx="26">
                  <c:v>6049.6299999999992</c:v>
                </c:pt>
                <c:pt idx="27">
                  <c:v>19092.98</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935665.95000000275</c:v>
                </c:pt>
                <c:pt idx="1">
                  <c:v>2779893.4099999983</c:v>
                </c:pt>
                <c:pt idx="2">
                  <c:v>4469381.7200000072</c:v>
                </c:pt>
                <c:pt idx="3">
                  <c:v>9448004.8399999961</c:v>
                </c:pt>
                <c:pt idx="4">
                  <c:v>7752837.6200000169</c:v>
                </c:pt>
                <c:pt idx="5">
                  <c:v>19606784.330000035</c:v>
                </c:pt>
                <c:pt idx="6">
                  <c:v>16295226.079999996</c:v>
                </c:pt>
                <c:pt idx="7">
                  <c:v>27984565.080000006</c:v>
                </c:pt>
                <c:pt idx="8">
                  <c:v>28513946.110000018</c:v>
                </c:pt>
                <c:pt idx="9">
                  <c:v>31692167.279999994</c:v>
                </c:pt>
                <c:pt idx="10">
                  <c:v>82117122.229999781</c:v>
                </c:pt>
                <c:pt idx="11">
                  <c:v>151236376.50000006</c:v>
                </c:pt>
                <c:pt idx="12">
                  <c:v>519726658.78000003</c:v>
                </c:pt>
                <c:pt idx="13">
                  <c:v>41374519.519999959</c:v>
                </c:pt>
                <c:pt idx="14">
                  <c:v>173117.94</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525177.24000000034</c:v>
                </c:pt>
                <c:pt idx="1">
                  <c:v>1098151.9000000011</c:v>
                </c:pt>
                <c:pt idx="2">
                  <c:v>5057740.1899999995</c:v>
                </c:pt>
                <c:pt idx="3">
                  <c:v>1732842.9500000002</c:v>
                </c:pt>
                <c:pt idx="4">
                  <c:v>11941780.879999995</c:v>
                </c:pt>
                <c:pt idx="5">
                  <c:v>4187257.9200000004</c:v>
                </c:pt>
                <c:pt idx="6">
                  <c:v>20861993.510000017</c:v>
                </c:pt>
                <c:pt idx="7">
                  <c:v>33579274.520000033</c:v>
                </c:pt>
                <c:pt idx="8">
                  <c:v>8476244.6700000037</c:v>
                </c:pt>
                <c:pt idx="9">
                  <c:v>34603752.75</c:v>
                </c:pt>
                <c:pt idx="10">
                  <c:v>14127612.890000006</c:v>
                </c:pt>
                <c:pt idx="11">
                  <c:v>74519391.669999897</c:v>
                </c:pt>
                <c:pt idx="12">
                  <c:v>604186756.48000157</c:v>
                </c:pt>
                <c:pt idx="13">
                  <c:v>125391485.37999965</c:v>
                </c:pt>
                <c:pt idx="14">
                  <c:v>3749716.560000001</c:v>
                </c:pt>
                <c:pt idx="15">
                  <c:v>67087.88</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2024-2</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83318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30778</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F5:F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 spans="6:6">
      <c r="F5" s="870"/>
    </row>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bestFit="1" customWidth="1"/>
    <col min="4" max="4" width="18.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762</v>
      </c>
      <c r="D2" s="115" t="s">
        <v>384</v>
      </c>
      <c r="E2" s="116"/>
      <c r="F2" s="117">
        <f>VLOOKUP("Calculation_Date",calcdata,3,0)</f>
        <v>45848</v>
      </c>
      <c r="G2" s="116"/>
      <c r="H2" s="116"/>
      <c r="I2" s="116"/>
      <c r="J2" s="118"/>
      <c r="K2" s="119"/>
    </row>
    <row r="3" spans="1:13" ht="18" customHeight="1">
      <c r="A3" s="114"/>
      <c r="B3" s="42" t="s">
        <v>0</v>
      </c>
      <c r="C3" s="120"/>
      <c r="D3" s="121" t="s">
        <v>2</v>
      </c>
      <c r="E3" s="122"/>
      <c r="F3" s="123">
        <f>VLOOKUP("Payment_Date",calcdata,3,0)</f>
        <v>45852</v>
      </c>
      <c r="G3" s="122"/>
      <c r="H3" s="122"/>
      <c r="I3" s="122"/>
      <c r="J3" s="124"/>
      <c r="K3" s="119"/>
    </row>
    <row r="4" spans="1:13" ht="12.75" customHeight="1">
      <c r="A4" s="114"/>
      <c r="B4" s="125"/>
      <c r="C4" s="120"/>
      <c r="D4" s="121" t="s">
        <v>3</v>
      </c>
      <c r="E4" s="122"/>
      <c r="F4" s="831">
        <f>VLOOKUP("Period",calcdata,2,0)</f>
        <v>8</v>
      </c>
      <c r="G4" s="122"/>
      <c r="H4" s="127"/>
      <c r="I4" s="122"/>
      <c r="J4" s="128"/>
      <c r="K4" s="119"/>
    </row>
    <row r="5" spans="1:13" ht="18" customHeight="1">
      <c r="A5" s="114"/>
      <c r="B5" s="129" t="s">
        <v>33</v>
      </c>
      <c r="C5" s="120"/>
      <c r="D5" s="121" t="s">
        <v>1</v>
      </c>
      <c r="E5" s="122"/>
      <c r="F5" s="130">
        <f>VLOOKUP("Monthly_Period",calcdata,3,0)</f>
        <v>45852</v>
      </c>
      <c r="G5" s="122"/>
      <c r="H5" s="127"/>
      <c r="I5" s="122"/>
      <c r="J5" s="128"/>
      <c r="K5" s="119"/>
    </row>
    <row r="6" spans="1:13" ht="15" customHeight="1">
      <c r="A6" s="114"/>
      <c r="B6" s="131"/>
      <c r="C6" s="120"/>
      <c r="D6" s="121" t="s">
        <v>51</v>
      </c>
      <c r="E6" s="132" t="s">
        <v>34</v>
      </c>
      <c r="F6" s="123">
        <f>VLOOKUP("Interest_period_from",calcdata,3,0)</f>
        <v>45824</v>
      </c>
      <c r="G6" s="132" t="s">
        <v>4</v>
      </c>
      <c r="H6" s="123">
        <f>F3</f>
        <v>45852</v>
      </c>
      <c r="I6" s="132" t="s">
        <v>15</v>
      </c>
      <c r="J6" s="133" t="str">
        <f>H6-F6&amp;" days"</f>
        <v>28 days</v>
      </c>
      <c r="K6" s="134"/>
      <c r="M6" s="135"/>
    </row>
    <row r="7" spans="1:13">
      <c r="A7" s="114"/>
      <c r="D7" s="136" t="s">
        <v>111</v>
      </c>
      <c r="E7" s="137" t="s">
        <v>34</v>
      </c>
      <c r="F7" s="138" t="str">
        <f>"01."&amp;TEXT(F6,"MM.jjjj")</f>
        <v>01.06.2025</v>
      </c>
      <c r="G7" s="137" t="s">
        <v>4</v>
      </c>
      <c r="H7" s="138">
        <f>EOMONTH(F6,0)</f>
        <v>45838</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354</v>
      </c>
      <c r="C16" s="147">
        <v>2</v>
      </c>
      <c r="E16" s="146"/>
      <c r="K16" s="119"/>
    </row>
    <row r="17" spans="1:11" ht="15" customHeight="1">
      <c r="A17" s="114"/>
      <c r="B17" s="18" t="s">
        <v>49</v>
      </c>
      <c r="C17" s="147">
        <v>3</v>
      </c>
      <c r="K17" s="119"/>
    </row>
    <row r="18" spans="1:11" ht="15" customHeight="1">
      <c r="A18" s="114"/>
      <c r="B18" s="18" t="s">
        <v>234</v>
      </c>
      <c r="C18" s="147">
        <v>4</v>
      </c>
      <c r="J18" s="135"/>
      <c r="K18" s="119"/>
    </row>
    <row r="19" spans="1:11" ht="15" customHeight="1">
      <c r="A19" s="114"/>
      <c r="B19" s="148" t="s">
        <v>235</v>
      </c>
      <c r="C19" s="147">
        <v>5</v>
      </c>
      <c r="J19" s="135"/>
      <c r="K19" s="119"/>
    </row>
    <row r="20" spans="1:11" ht="15" customHeight="1">
      <c r="A20" s="114"/>
      <c r="B20" s="148" t="s">
        <v>355</v>
      </c>
      <c r="C20" s="147">
        <v>6</v>
      </c>
      <c r="J20" s="135"/>
      <c r="K20" s="119"/>
    </row>
    <row r="21" spans="1:11" ht="15" customHeight="1">
      <c r="A21" s="114"/>
      <c r="B21" s="18" t="s">
        <v>117</v>
      </c>
      <c r="C21" s="147">
        <v>7</v>
      </c>
      <c r="J21" s="135"/>
      <c r="K21" s="119"/>
    </row>
    <row r="22" spans="1:11" ht="15" customHeight="1">
      <c r="A22" s="114"/>
      <c r="B22" s="18" t="s">
        <v>118</v>
      </c>
      <c r="C22" s="147">
        <v>8</v>
      </c>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364</v>
      </c>
      <c r="C42" s="147">
        <v>28</v>
      </c>
      <c r="E42" s="146"/>
      <c r="J42" s="149"/>
      <c r="K42" s="119"/>
    </row>
    <row r="43" spans="1:11" ht="15" customHeight="1">
      <c r="A43" s="114"/>
      <c r="B43" s="18" t="s">
        <v>365</v>
      </c>
      <c r="C43" s="147">
        <v>29</v>
      </c>
      <c r="E43" s="146"/>
      <c r="J43" s="149"/>
      <c r="K43" s="119"/>
    </row>
    <row r="44" spans="1:11" ht="15" customHeight="1">
      <c r="A44" s="114"/>
      <c r="B44" s="18" t="s">
        <v>366</v>
      </c>
      <c r="C44" s="147">
        <v>30</v>
      </c>
      <c r="E44" s="146"/>
      <c r="J44" s="149"/>
      <c r="K44" s="119"/>
    </row>
    <row r="45" spans="1:11" ht="15" customHeight="1">
      <c r="A45" s="114"/>
      <c r="B45" s="18" t="s">
        <v>367</v>
      </c>
      <c r="C45" s="147">
        <v>31</v>
      </c>
      <c r="E45" s="146"/>
      <c r="J45" s="149"/>
      <c r="K45" s="119"/>
    </row>
    <row r="46" spans="1:11" ht="15" customHeight="1">
      <c r="A46" s="114"/>
      <c r="B46" s="18" t="s">
        <v>233</v>
      </c>
      <c r="C46" s="147">
        <v>32</v>
      </c>
      <c r="E46" s="111"/>
      <c r="J46" s="32"/>
      <c r="K46" s="119"/>
    </row>
    <row r="47" spans="1:11" ht="15" customHeight="1">
      <c r="A47" s="114"/>
      <c r="B47" s="18" t="s">
        <v>368</v>
      </c>
      <c r="C47" s="147">
        <v>33</v>
      </c>
      <c r="E47" s="111"/>
      <c r="J47" s="32"/>
      <c r="K47" s="119"/>
    </row>
    <row r="48" spans="1:11" ht="15" customHeight="1">
      <c r="A48" s="114"/>
      <c r="B48" s="18" t="s">
        <v>369</v>
      </c>
      <c r="C48" s="147">
        <v>34</v>
      </c>
      <c r="E48" s="111"/>
      <c r="J48" s="32"/>
      <c r="K48" s="119"/>
    </row>
    <row r="49" spans="1:11" ht="15" customHeight="1">
      <c r="A49" s="114"/>
      <c r="B49" s="18" t="s">
        <v>370</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45848</v>
      </c>
      <c r="G2" s="116"/>
      <c r="H2" s="116"/>
      <c r="I2" s="116"/>
      <c r="J2" s="118"/>
      <c r="K2" s="119"/>
      <c r="L2" s="142"/>
    </row>
    <row r="3" spans="1:13" ht="18">
      <c r="A3" s="114"/>
      <c r="B3" s="42" t="str">
        <f>'Cover Sheet'!B3</f>
        <v>Monthly Investor Report</v>
      </c>
      <c r="C3" s="750"/>
      <c r="D3" s="121" t="s">
        <v>2</v>
      </c>
      <c r="E3" s="122"/>
      <c r="F3" s="123">
        <f>'Cover Sheet'!F3</f>
        <v>45852</v>
      </c>
      <c r="G3" s="122"/>
      <c r="H3" s="122"/>
      <c r="I3" s="122"/>
      <c r="J3" s="124"/>
      <c r="K3" s="119"/>
      <c r="L3" s="143"/>
    </row>
    <row r="4" spans="1:13" ht="13">
      <c r="A4" s="114"/>
      <c r="B4" s="99"/>
      <c r="C4" s="125"/>
      <c r="D4" s="121" t="s">
        <v>3</v>
      </c>
      <c r="E4" s="122"/>
      <c r="F4" s="126">
        <f>'Cover Sheet'!F4</f>
        <v>8</v>
      </c>
      <c r="G4" s="122"/>
      <c r="H4" s="758">
        <f>F4-1</f>
        <v>7</v>
      </c>
      <c r="I4" s="122"/>
      <c r="J4" s="128"/>
      <c r="K4" s="119"/>
      <c r="L4" s="142"/>
    </row>
    <row r="5" spans="1:13" ht="18">
      <c r="A5" s="114"/>
      <c r="B5" s="129" t="s">
        <v>32</v>
      </c>
      <c r="C5" s="131"/>
      <c r="D5" s="121" t="s">
        <v>1</v>
      </c>
      <c r="E5" s="122"/>
      <c r="F5" s="130">
        <f>'Cover Sheet'!F5</f>
        <v>45852</v>
      </c>
      <c r="G5" s="122"/>
      <c r="H5" s="127"/>
      <c r="I5" s="122"/>
      <c r="J5" s="128"/>
      <c r="K5" s="119"/>
      <c r="L5" s="143"/>
    </row>
    <row r="6" spans="1:13" ht="15" customHeight="1">
      <c r="A6" s="114"/>
      <c r="B6" s="131"/>
      <c r="C6" s="120"/>
      <c r="D6" s="121" t="s">
        <v>51</v>
      </c>
      <c r="E6" s="132" t="s">
        <v>34</v>
      </c>
      <c r="F6" s="123">
        <f>'Cover Sheet'!F6</f>
        <v>45824</v>
      </c>
      <c r="G6" s="132" t="str">
        <f>'Cover Sheet'!G6</f>
        <v>to</v>
      </c>
      <c r="H6" s="123">
        <f>'Cover Sheet'!H6</f>
        <v>45852</v>
      </c>
      <c r="I6" s="132" t="str">
        <f>'Cover Sheet'!I6</f>
        <v>=</v>
      </c>
      <c r="J6" s="133" t="str">
        <f>'Cover Sheet'!J6</f>
        <v>28 days</v>
      </c>
      <c r="K6" s="134"/>
      <c r="M6" s="135"/>
    </row>
    <row r="7" spans="1:13" ht="13">
      <c r="A7" s="114"/>
      <c r="B7" s="751"/>
      <c r="C7" s="751"/>
      <c r="D7" s="136" t="s">
        <v>111</v>
      </c>
      <c r="E7" s="137" t="s">
        <v>34</v>
      </c>
      <c r="F7" s="138" t="str">
        <f>'Cover Sheet'!F7</f>
        <v>01.06.2025</v>
      </c>
      <c r="G7" s="137" t="str">
        <f>'Cover Sheet'!G7</f>
        <v>to</v>
      </c>
      <c r="H7" s="138">
        <f>'Cover Sheet'!H7</f>
        <v>45838</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2" t="s">
        <v>105</v>
      </c>
      <c r="E13" s="144"/>
      <c r="F13" s="752" t="s">
        <v>99</v>
      </c>
      <c r="J13" s="752" t="s">
        <v>99</v>
      </c>
      <c r="K13" s="119"/>
      <c r="L13" s="753"/>
    </row>
    <row r="14" spans="1:13" ht="18">
      <c r="A14" s="114"/>
      <c r="B14" s="42"/>
      <c r="C14" s="752"/>
      <c r="E14" s="144"/>
      <c r="F14" s="99"/>
      <c r="J14" s="754"/>
      <c r="K14" s="119"/>
    </row>
    <row r="15" spans="1:13" ht="13">
      <c r="A15" s="114"/>
      <c r="B15" s="32" t="s">
        <v>13</v>
      </c>
      <c r="C15" s="812">
        <f>VLOOKUP("Nbr_loans_bop",Assets_Daten,3,0)</f>
        <v>52160</v>
      </c>
      <c r="D15" s="32"/>
      <c r="E15" s="32"/>
      <c r="F15" s="787">
        <f>VLOOKUP("Outstanding_bop_current",calcdata,2,0)</f>
        <v>971524220.40999997</v>
      </c>
      <c r="G15" s="755"/>
      <c r="H15" s="755"/>
      <c r="I15" s="755"/>
      <c r="J15" s="787">
        <f>VLOOKUP("Outstanding_bop_previous",calcdata,2,0)</f>
        <v>999999978.38</v>
      </c>
      <c r="K15" s="119"/>
    </row>
    <row r="16" spans="1:13" ht="13">
      <c r="A16" s="114"/>
      <c r="F16" s="47"/>
      <c r="G16" s="50"/>
      <c r="H16" s="50"/>
      <c r="I16" s="50"/>
      <c r="J16" s="746"/>
      <c r="K16" s="119"/>
    </row>
    <row r="17" spans="1:11">
      <c r="A17" s="114"/>
      <c r="B17" s="18" t="s">
        <v>37</v>
      </c>
      <c r="C17" s="501"/>
      <c r="F17" s="748">
        <f>F20-F18</f>
        <v>12484154.009999977</v>
      </c>
      <c r="G17" s="50"/>
      <c r="H17" s="50"/>
      <c r="I17" s="50"/>
      <c r="J17" s="281">
        <f>J20-J18</f>
        <v>13208670.17</v>
      </c>
      <c r="K17" s="119"/>
    </row>
    <row r="18" spans="1:11">
      <c r="A18" s="114"/>
      <c r="B18" s="18" t="s">
        <v>38</v>
      </c>
      <c r="F18" s="281">
        <f>VLOOKUP(F4,'1.1 Portfolio Information p.p.'!B:E,4,FALSE)</f>
        <v>13220665.480000021</v>
      </c>
      <c r="G18" s="50"/>
      <c r="H18" s="50"/>
      <c r="I18" s="50"/>
      <c r="J18" s="281">
        <f>VLOOKUP(F4-1,'1.1 Portfolio Information p.p.'!B:E,4,FALSE)</f>
        <v>12096947.549999999</v>
      </c>
      <c r="K18" s="119"/>
    </row>
    <row r="19" spans="1:11" ht="13">
      <c r="A19" s="114"/>
      <c r="F19" s="748"/>
      <c r="G19" s="50"/>
      <c r="H19" s="50"/>
      <c r="I19" s="50"/>
      <c r="J19" s="746"/>
      <c r="K19" s="119"/>
    </row>
    <row r="20" spans="1:11" ht="13">
      <c r="A20" s="114"/>
      <c r="B20" s="32" t="s">
        <v>39</v>
      </c>
      <c r="C20" s="501"/>
      <c r="F20" s="787">
        <f>VLOOKUP("Total_Principal_Collections_current",calcdata,2,0)</f>
        <v>25704819.489999998</v>
      </c>
      <c r="G20" s="50"/>
      <c r="H20" s="50"/>
      <c r="I20" s="50"/>
      <c r="J20" s="787">
        <f>VLOOKUP("Total_Principal_Collections_previous",calcdata,2,0)</f>
        <v>25305617.719999999</v>
      </c>
      <c r="K20" s="119"/>
    </row>
    <row r="21" spans="1:11" ht="13">
      <c r="A21" s="114"/>
      <c r="F21" s="746"/>
      <c r="G21" s="50"/>
      <c r="H21" s="50"/>
      <c r="I21" s="50"/>
      <c r="J21" s="787"/>
      <c r="K21" s="119"/>
    </row>
    <row r="22" spans="1:11" ht="13">
      <c r="A22" s="114"/>
      <c r="B22" s="32" t="s">
        <v>40</v>
      </c>
      <c r="C22" s="761"/>
      <c r="F22" s="787">
        <f>VLOOKUP("Collected_Interest_Portion_current",calcdata,2,0)</f>
        <v>6899913.2800000003</v>
      </c>
      <c r="G22" s="50"/>
      <c r="H22" s="50"/>
      <c r="I22" s="50"/>
      <c r="J22" s="787">
        <f>VLOOKUP("Collected_Interest_Portion_previous",calcdata,2,0)</f>
        <v>7106081.9900000002</v>
      </c>
      <c r="K22" s="119"/>
    </row>
    <row r="23" spans="1:11" ht="13">
      <c r="A23" s="114"/>
      <c r="B23" s="32"/>
      <c r="C23" s="761"/>
      <c r="F23" s="760"/>
      <c r="G23" s="50"/>
      <c r="H23" s="50"/>
      <c r="I23" s="50"/>
      <c r="J23" s="787"/>
      <c r="K23" s="119"/>
    </row>
    <row r="24" spans="1:11" ht="13">
      <c r="A24" s="114"/>
      <c r="B24" s="32" t="s">
        <v>41</v>
      </c>
      <c r="C24" s="501"/>
      <c r="F24" s="786">
        <f>VLOOKUP("Defaults_current",calcdata,2,0)</f>
        <v>1713133.53</v>
      </c>
      <c r="G24" s="50"/>
      <c r="H24" s="50"/>
      <c r="I24" s="50"/>
      <c r="J24" s="787">
        <f>VLOOKUP("Defaults_previous",calcdata,2,0)</f>
        <v>3170140.25</v>
      </c>
      <c r="K24" s="119"/>
    </row>
    <row r="25" spans="1:11" ht="13">
      <c r="A25" s="114"/>
      <c r="B25" s="32"/>
      <c r="C25" s="501"/>
      <c r="F25" s="760"/>
      <c r="G25" s="50"/>
      <c r="H25" s="50"/>
      <c r="I25" s="50"/>
      <c r="J25" s="787"/>
      <c r="K25" s="119"/>
    </row>
    <row r="26" spans="1:11" ht="13">
      <c r="A26" s="114"/>
      <c r="B26" s="32" t="s">
        <v>136</v>
      </c>
      <c r="C26" s="501"/>
      <c r="F26" s="787">
        <f>VLOOKUP("replenishment_current",calcdata,2,0)</f>
        <v>0</v>
      </c>
      <c r="G26" s="50"/>
      <c r="H26" s="50"/>
      <c r="I26" s="50"/>
      <c r="J26" s="787">
        <f>VLOOKUP("replenishment_previous",calcdata,2,0)</f>
        <v>0</v>
      </c>
      <c r="K26" s="119"/>
    </row>
    <row r="27" spans="1:11" ht="13">
      <c r="A27" s="114"/>
      <c r="B27" s="149"/>
      <c r="F27" s="760"/>
      <c r="G27" s="50"/>
      <c r="H27" s="50"/>
      <c r="I27" s="50"/>
      <c r="J27" s="787"/>
      <c r="K27" s="119"/>
    </row>
    <row r="28" spans="1:11" s="32" customFormat="1" ht="13">
      <c r="A28" s="757"/>
      <c r="B28" s="32" t="s">
        <v>14</v>
      </c>
      <c r="C28" s="759"/>
      <c r="F28" s="787">
        <f>VLOOKUP("Outstanding_eop_current",calcdata,2,0)</f>
        <v>944106267.38999999</v>
      </c>
      <c r="G28" s="755"/>
      <c r="H28" s="755"/>
      <c r="I28" s="755"/>
      <c r="J28" s="787">
        <f>VLOOKUP("Outstanding_eop_previous",calcdata,2,0)</f>
        <v>971524220.40999997</v>
      </c>
      <c r="K28" s="164"/>
    </row>
    <row r="29" spans="1:11" s="32" customFormat="1" ht="13">
      <c r="A29" s="757"/>
      <c r="F29" s="760"/>
      <c r="G29" s="755"/>
      <c r="H29" s="755"/>
      <c r="I29" s="755"/>
      <c r="J29" s="787"/>
      <c r="K29" s="164"/>
    </row>
    <row r="30" spans="1:11" s="32" customFormat="1" ht="13">
      <c r="A30" s="757"/>
      <c r="B30" s="32" t="s">
        <v>137</v>
      </c>
      <c r="F30" s="787">
        <f>VLOOKUP("Purchase_Shortfall_current",calcdata,2,0)</f>
        <v>7.86</v>
      </c>
      <c r="G30" s="755"/>
      <c r="H30" s="755"/>
      <c r="I30" s="755"/>
      <c r="J30" s="787">
        <f>VLOOKUP("Purchase_Shortfall_previous",calcdata,2,0)</f>
        <v>37.840000000000003</v>
      </c>
      <c r="K30" s="164"/>
    </row>
    <row r="31" spans="1:11" ht="13">
      <c r="A31" s="114"/>
      <c r="F31" s="746"/>
      <c r="G31" s="50"/>
      <c r="H31" s="50"/>
      <c r="I31" s="50"/>
      <c r="J31" s="787"/>
      <c r="K31" s="119"/>
    </row>
    <row r="32" spans="1:11" s="32" customFormat="1" ht="13">
      <c r="A32" s="757"/>
      <c r="B32" s="32" t="s">
        <v>138</v>
      </c>
      <c r="C32" s="812">
        <f>'7. Current Principal Balance'!G55</f>
        <v>50954</v>
      </c>
      <c r="F32" s="787">
        <f>VLOOKUP("total_assets_current",calcdata,2,0)</f>
        <v>944106275.25</v>
      </c>
      <c r="G32" s="755"/>
      <c r="H32" s="755"/>
      <c r="I32" s="755"/>
      <c r="J32" s="787">
        <f>VLOOKUP("total_assets_previous",calcdata,2,0)</f>
        <v>971524258.25</v>
      </c>
      <c r="K32" s="164"/>
    </row>
    <row r="33" spans="1:11">
      <c r="A33" s="114"/>
      <c r="F33" s="99"/>
      <c r="J33" s="99"/>
      <c r="K33" s="119"/>
    </row>
    <row r="34" spans="1:11" ht="13">
      <c r="A34" s="114"/>
      <c r="B34" s="32" t="s">
        <v>9</v>
      </c>
      <c r="F34" s="747">
        <f>IF(F15=0,0,1-(1-(F18/F15))^12)</f>
        <v>0.15161378258951164</v>
      </c>
      <c r="J34" s="99"/>
      <c r="K34" s="119"/>
    </row>
    <row r="35" spans="1:11">
      <c r="A35" s="114"/>
      <c r="F35" s="99"/>
      <c r="J35" s="99"/>
      <c r="K35" s="119"/>
    </row>
    <row r="36" spans="1:11" ht="13">
      <c r="A36" s="114"/>
      <c r="B36" s="32" t="s">
        <v>284</v>
      </c>
      <c r="F36" s="747">
        <f>'5. Outstanding Notes'!C35</f>
        <v>0.94077294191659999</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45848</v>
      </c>
      <c r="G2" s="116"/>
      <c r="H2" s="116"/>
      <c r="I2" s="116"/>
      <c r="J2" s="118"/>
      <c r="K2" s="119"/>
      <c r="L2" s="142"/>
    </row>
    <row r="3" spans="1:13" ht="18">
      <c r="A3" s="114"/>
      <c r="B3" s="42" t="str">
        <f>'Cover Sheet'!B3</f>
        <v>Monthly Investor Report</v>
      </c>
      <c r="C3" s="750"/>
      <c r="D3" s="121" t="s">
        <v>2</v>
      </c>
      <c r="E3" s="122"/>
      <c r="F3" s="123">
        <f>'Cover Sheet'!F3</f>
        <v>45852</v>
      </c>
      <c r="G3" s="122"/>
      <c r="H3" s="122"/>
      <c r="I3" s="122"/>
      <c r="J3" s="124"/>
      <c r="K3" s="119"/>
      <c r="L3" s="143"/>
    </row>
    <row r="4" spans="1:13" ht="13">
      <c r="A4" s="114"/>
      <c r="B4" s="99"/>
      <c r="C4" s="125"/>
      <c r="D4" s="121" t="s">
        <v>3</v>
      </c>
      <c r="E4" s="122"/>
      <c r="F4" s="126">
        <f>'Cover Sheet'!F4</f>
        <v>8</v>
      </c>
      <c r="G4" s="122"/>
      <c r="H4" s="127"/>
      <c r="I4" s="122"/>
      <c r="J4" s="128"/>
      <c r="K4" s="119"/>
      <c r="L4" s="142"/>
    </row>
    <row r="5" spans="1:13" ht="18">
      <c r="A5" s="114"/>
      <c r="B5" s="129" t="s">
        <v>349</v>
      </c>
      <c r="C5" s="131"/>
      <c r="D5" s="121" t="s">
        <v>1</v>
      </c>
      <c r="E5" s="122"/>
      <c r="F5" s="130">
        <f>'Cover Sheet'!F5</f>
        <v>45852</v>
      </c>
      <c r="G5" s="122"/>
      <c r="H5" s="127"/>
      <c r="I5" s="122"/>
      <c r="J5" s="128"/>
      <c r="K5" s="119"/>
      <c r="L5" s="143"/>
    </row>
    <row r="6" spans="1:13" ht="15" customHeight="1">
      <c r="A6" s="114"/>
      <c r="B6" s="131"/>
      <c r="C6" s="120"/>
      <c r="D6" s="121" t="s">
        <v>51</v>
      </c>
      <c r="E6" s="132" t="s">
        <v>34</v>
      </c>
      <c r="F6" s="123">
        <f>'Cover Sheet'!F6</f>
        <v>45824</v>
      </c>
      <c r="G6" s="132" t="str">
        <f>'Cover Sheet'!G6</f>
        <v>to</v>
      </c>
      <c r="H6" s="123">
        <f>'Cover Sheet'!H6</f>
        <v>45852</v>
      </c>
      <c r="I6" s="132" t="str">
        <f>'Cover Sheet'!I6</f>
        <v>=</v>
      </c>
      <c r="J6" s="133" t="str">
        <f>'Cover Sheet'!J6</f>
        <v>28 days</v>
      </c>
      <c r="K6" s="134"/>
      <c r="M6" s="135"/>
    </row>
    <row r="7" spans="1:13" ht="13">
      <c r="A7" s="114"/>
      <c r="B7" s="751"/>
      <c r="C7" s="751"/>
      <c r="D7" s="136" t="s">
        <v>111</v>
      </c>
      <c r="E7" s="137" t="s">
        <v>34</v>
      </c>
      <c r="F7" s="138" t="str">
        <f>'Cover Sheet'!F7</f>
        <v>01.06.2025</v>
      </c>
      <c r="G7" s="137" t="str">
        <f>'Cover Sheet'!G7</f>
        <v>to</v>
      </c>
      <c r="H7" s="138">
        <f>'Cover Sheet'!H7</f>
        <v>45838</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77" t="s">
        <v>111</v>
      </c>
      <c r="C13" s="877" t="s">
        <v>390</v>
      </c>
      <c r="D13" s="877" t="s">
        <v>37</v>
      </c>
      <c r="E13" s="877" t="s">
        <v>38</v>
      </c>
      <c r="F13" s="877" t="s">
        <v>39</v>
      </c>
      <c r="G13" s="880" t="s">
        <v>351</v>
      </c>
      <c r="H13" s="879"/>
      <c r="I13" s="876"/>
      <c r="J13" s="876"/>
      <c r="K13" s="119"/>
    </row>
    <row r="14" spans="1:13" ht="18" customHeight="1" thickBot="1">
      <c r="A14" s="114"/>
      <c r="B14" s="878"/>
      <c r="C14" s="878"/>
      <c r="D14" s="878"/>
      <c r="E14" s="878"/>
      <c r="F14" s="878"/>
      <c r="G14" s="881"/>
      <c r="H14" s="879"/>
      <c r="I14" s="876"/>
      <c r="J14" s="876"/>
      <c r="K14" s="119"/>
    </row>
    <row r="15" spans="1:13" ht="15" customHeight="1">
      <c r="A15" s="114"/>
      <c r="B15" s="863">
        <v>1</v>
      </c>
      <c r="C15" s="864">
        <f t="shared" ref="C15:C18" si="0">IF($F$4&gt;=B15,VLOOKUP(CONCATENATE("portfolio_",$B15),portfolio_p.p,2,0),"")</f>
        <v>999999989.32000005</v>
      </c>
      <c r="D15" s="864">
        <f t="shared" ref="D15:D18" si="1">IF($F$4&gt;=B15,VLOOKUP(CONCATENATE("portfolio_",$B15),portfolio_p.p,3,0),"")</f>
        <v>18599905.809999999</v>
      </c>
      <c r="E15" s="864">
        <f t="shared" ref="E15:E18" si="2">IF($F$4&gt;=B15,VLOOKUP(CONCATENATE("portfolio_",$B15),portfolio_p.p,4,0),"")</f>
        <v>8354232.6500000004</v>
      </c>
      <c r="F15" s="864">
        <f t="shared" ref="F15:F18" si="3">IF($F$4&gt;=B15,VLOOKUP(CONCATENATE("portfolio_",$B15),portfolio_p.p,5,0),"")</f>
        <v>26954138.460000001</v>
      </c>
      <c r="G15" s="865">
        <f t="shared" ref="G15:G18" si="4">IF($F$4&gt;=B15,VLOOKUP(CONCATENATE("portfolio_",$B15),portfolio_p.p,6,0),"")</f>
        <v>0.21373086590079371</v>
      </c>
      <c r="H15" s="142"/>
      <c r="J15" s="81"/>
      <c r="K15" s="119"/>
    </row>
    <row r="16" spans="1:13" ht="15" customHeight="1">
      <c r="A16" s="114"/>
      <c r="B16" s="866">
        <v>2</v>
      </c>
      <c r="C16" s="762">
        <f t="shared" si="0"/>
        <v>999999873.58000004</v>
      </c>
      <c r="D16" s="762">
        <f t="shared" si="1"/>
        <v>12474267.85</v>
      </c>
      <c r="E16" s="762">
        <f t="shared" si="2"/>
        <v>6590720.54</v>
      </c>
      <c r="F16" s="762">
        <f t="shared" si="3"/>
        <v>19064988.390000001</v>
      </c>
      <c r="G16" s="722">
        <f t="shared" si="4"/>
        <v>0.15442086438144476</v>
      </c>
      <c r="H16" s="142"/>
      <c r="J16" s="81"/>
      <c r="K16" s="119"/>
    </row>
    <row r="17" spans="1:12" ht="15" customHeight="1">
      <c r="A17" s="114"/>
      <c r="B17" s="866">
        <v>3</v>
      </c>
      <c r="C17" s="762">
        <f t="shared" si="0"/>
        <v>999999923.61000001</v>
      </c>
      <c r="D17" s="762">
        <f t="shared" si="1"/>
        <v>14451258.529999999</v>
      </c>
      <c r="E17" s="762">
        <f t="shared" si="2"/>
        <v>13371917.4</v>
      </c>
      <c r="F17" s="762">
        <f t="shared" si="3"/>
        <v>27823175.93</v>
      </c>
      <c r="G17" s="722">
        <f t="shared" si="4"/>
        <v>0.24747336804376674</v>
      </c>
      <c r="H17" s="142"/>
      <c r="J17" s="81"/>
      <c r="K17" s="119"/>
    </row>
    <row r="18" spans="1:12" ht="15" customHeight="1">
      <c r="A18" s="114"/>
      <c r="B18" s="866">
        <v>4</v>
      </c>
      <c r="C18" s="762">
        <f t="shared" si="0"/>
        <v>999999964.76999998</v>
      </c>
      <c r="D18" s="762">
        <f t="shared" si="1"/>
        <v>12325298.029999999</v>
      </c>
      <c r="E18" s="762">
        <f t="shared" si="2"/>
        <v>10685591.130000001</v>
      </c>
      <c r="F18" s="762">
        <f t="shared" si="3"/>
        <v>23010889.16</v>
      </c>
      <c r="G18" s="722">
        <f t="shared" si="4"/>
        <v>0.20942725796969186</v>
      </c>
      <c r="H18" s="142"/>
      <c r="J18" s="81"/>
      <c r="K18" s="119"/>
    </row>
    <row r="19" spans="1:12" ht="15" customHeight="1">
      <c r="A19" s="114"/>
      <c r="B19" s="866">
        <v>5</v>
      </c>
      <c r="C19" s="762">
        <f t="shared" ref="C19:C79" si="5">IF($F$4&gt;=B19,VLOOKUP(CONCATENATE("portfolio_",$B19),portfolio_p.p,2,0),"")</f>
        <v>999999957.50999999</v>
      </c>
      <c r="D19" s="762">
        <f t="shared" ref="D19:D79" si="6">IF($F$4&gt;=B19,VLOOKUP(CONCATENATE("portfolio_",$B19),portfolio_p.p,3,0),"")</f>
        <v>13111522.729999995</v>
      </c>
      <c r="E19" s="762">
        <f t="shared" ref="E19:E79" si="7">IF($F$4&gt;=B19,VLOOKUP(CONCATENATE("portfolio_",$B19),portfolio_p.p,4,0),"")</f>
        <v>11336365.060000004</v>
      </c>
      <c r="F19" s="762">
        <f t="shared" ref="F19:F79" si="8">IF($F$4&gt;=B19,VLOOKUP(CONCATENATE("portfolio_",$B19),portfolio_p.p,5,0),"")</f>
        <v>24447887.789999999</v>
      </c>
      <c r="G19" s="722">
        <f t="shared" ref="G19:G79" si="9">IF($F$4&gt;=B19,VLOOKUP(CONCATENATE("portfolio_",$B19),portfolio_p.p,6,0),"")</f>
        <v>0.127866999411129</v>
      </c>
      <c r="H19" s="142"/>
      <c r="J19" s="81"/>
      <c r="K19" s="119"/>
    </row>
    <row r="20" spans="1:12" ht="15" customHeight="1">
      <c r="A20" s="114"/>
      <c r="B20" s="866">
        <v>6</v>
      </c>
      <c r="C20" s="762">
        <f t="shared" si="5"/>
        <v>999999996.48000002</v>
      </c>
      <c r="D20" s="762">
        <f t="shared" si="6"/>
        <v>13479285.240000021</v>
      </c>
      <c r="E20" s="762">
        <f t="shared" si="7"/>
        <v>13510756.109999981</v>
      </c>
      <c r="F20" s="762">
        <f t="shared" si="8"/>
        <v>26990041.350000001</v>
      </c>
      <c r="G20" s="722">
        <f t="shared" si="9"/>
        <v>0.15060783319675752</v>
      </c>
      <c r="H20" s="142"/>
      <c r="J20" s="81"/>
      <c r="K20" s="119"/>
    </row>
    <row r="21" spans="1:12" ht="15" customHeight="1">
      <c r="A21" s="114"/>
      <c r="B21" s="866">
        <v>7</v>
      </c>
      <c r="C21" s="762">
        <f t="shared" si="5"/>
        <v>999999978.38</v>
      </c>
      <c r="D21" s="762">
        <f t="shared" si="6"/>
        <v>13208670.17</v>
      </c>
      <c r="E21" s="762">
        <f t="shared" si="7"/>
        <v>12096947.549999999</v>
      </c>
      <c r="F21" s="762">
        <f t="shared" si="8"/>
        <v>25305617.719999999</v>
      </c>
      <c r="G21" s="722">
        <f t="shared" si="9"/>
        <v>0.13588423887578238</v>
      </c>
      <c r="K21" s="119"/>
    </row>
    <row r="22" spans="1:12" ht="15" customHeight="1">
      <c r="A22" s="114"/>
      <c r="B22" s="866">
        <v>8</v>
      </c>
      <c r="C22" s="762">
        <f t="shared" si="5"/>
        <v>971524220.40999997</v>
      </c>
      <c r="D22" s="762">
        <f t="shared" si="6"/>
        <v>12484154.009999977</v>
      </c>
      <c r="E22" s="762">
        <f t="shared" si="7"/>
        <v>13220665.480000021</v>
      </c>
      <c r="F22" s="762">
        <f t="shared" si="8"/>
        <v>25704819.489999998</v>
      </c>
      <c r="G22" s="722">
        <f t="shared" si="9"/>
        <v>0.15161378258951164</v>
      </c>
      <c r="J22" s="752"/>
      <c r="K22" s="119"/>
      <c r="L22" s="753"/>
    </row>
    <row r="23" spans="1:12" ht="15" customHeight="1">
      <c r="A23" s="114"/>
      <c r="B23" s="866">
        <v>9</v>
      </c>
      <c r="C23" s="762" t="str">
        <f t="shared" si="5"/>
        <v/>
      </c>
      <c r="D23" s="762" t="str">
        <f t="shared" si="6"/>
        <v/>
      </c>
      <c r="E23" s="762" t="str">
        <f t="shared" si="7"/>
        <v/>
      </c>
      <c r="F23" s="762" t="str">
        <f t="shared" si="8"/>
        <v/>
      </c>
      <c r="G23" s="722" t="str">
        <f t="shared" si="9"/>
        <v/>
      </c>
      <c r="J23" s="754"/>
      <c r="K23" s="119"/>
    </row>
    <row r="24" spans="1:12" ht="15" customHeight="1">
      <c r="A24" s="114"/>
      <c r="B24" s="866">
        <v>10</v>
      </c>
      <c r="C24" s="762" t="str">
        <f t="shared" si="5"/>
        <v/>
      </c>
      <c r="D24" s="762" t="str">
        <f t="shared" si="6"/>
        <v/>
      </c>
      <c r="E24" s="762" t="str">
        <f t="shared" si="7"/>
        <v/>
      </c>
      <c r="F24" s="762" t="str">
        <f t="shared" si="8"/>
        <v/>
      </c>
      <c r="G24" s="722" t="str">
        <f t="shared" si="9"/>
        <v/>
      </c>
      <c r="H24" s="755"/>
      <c r="I24" s="755"/>
      <c r="J24" s="756"/>
      <c r="K24" s="119"/>
    </row>
    <row r="25" spans="1:12" ht="15" customHeight="1">
      <c r="A25" s="114"/>
      <c r="B25" s="866">
        <v>11</v>
      </c>
      <c r="C25" s="762" t="str">
        <f t="shared" si="5"/>
        <v/>
      </c>
      <c r="D25" s="762" t="str">
        <f t="shared" si="6"/>
        <v/>
      </c>
      <c r="E25" s="762" t="str">
        <f t="shared" si="7"/>
        <v/>
      </c>
      <c r="F25" s="762" t="str">
        <f t="shared" si="8"/>
        <v/>
      </c>
      <c r="G25" s="722" t="str">
        <f t="shared" si="9"/>
        <v/>
      </c>
      <c r="H25" s="50"/>
      <c r="I25" s="50"/>
      <c r="J25" s="746"/>
      <c r="K25" s="119"/>
    </row>
    <row r="26" spans="1:12" ht="15" customHeight="1">
      <c r="A26" s="114"/>
      <c r="B26" s="866">
        <v>12</v>
      </c>
      <c r="C26" s="762" t="str">
        <f t="shared" si="5"/>
        <v/>
      </c>
      <c r="D26" s="762" t="str">
        <f t="shared" si="6"/>
        <v/>
      </c>
      <c r="E26" s="762" t="str">
        <f t="shared" si="7"/>
        <v/>
      </c>
      <c r="F26" s="762" t="str">
        <f t="shared" si="8"/>
        <v/>
      </c>
      <c r="G26" s="722" t="str">
        <f t="shared" si="9"/>
        <v/>
      </c>
      <c r="H26" s="50"/>
      <c r="I26" s="50"/>
      <c r="J26" s="748"/>
      <c r="K26" s="119"/>
    </row>
    <row r="27" spans="1:12" ht="15" customHeight="1">
      <c r="A27" s="114"/>
      <c r="B27" s="866">
        <v>13</v>
      </c>
      <c r="C27" s="762" t="str">
        <f t="shared" si="5"/>
        <v/>
      </c>
      <c r="D27" s="762" t="str">
        <f t="shared" si="6"/>
        <v/>
      </c>
      <c r="E27" s="762" t="str">
        <f t="shared" si="7"/>
        <v/>
      </c>
      <c r="F27" s="762" t="str">
        <f t="shared" si="8"/>
        <v/>
      </c>
      <c r="G27" s="722" t="str">
        <f t="shared" si="9"/>
        <v/>
      </c>
      <c r="H27" s="50"/>
      <c r="I27" s="50"/>
      <c r="J27" s="281"/>
      <c r="K27" s="119"/>
    </row>
    <row r="28" spans="1:12" ht="15" customHeight="1">
      <c r="A28" s="114"/>
      <c r="B28" s="866">
        <v>14</v>
      </c>
      <c r="C28" s="762" t="str">
        <f t="shared" si="5"/>
        <v/>
      </c>
      <c r="D28" s="762" t="str">
        <f t="shared" si="6"/>
        <v/>
      </c>
      <c r="E28" s="762" t="str">
        <f t="shared" si="7"/>
        <v/>
      </c>
      <c r="F28" s="762" t="str">
        <f t="shared" si="8"/>
        <v/>
      </c>
      <c r="G28" s="722" t="str">
        <f t="shared" si="9"/>
        <v/>
      </c>
      <c r="H28" s="50"/>
      <c r="I28" s="50"/>
      <c r="J28" s="746"/>
      <c r="K28" s="119"/>
    </row>
    <row r="29" spans="1:12" ht="15" customHeight="1">
      <c r="A29" s="114"/>
      <c r="B29" s="866">
        <v>15</v>
      </c>
      <c r="C29" s="762" t="str">
        <f t="shared" si="5"/>
        <v/>
      </c>
      <c r="D29" s="762" t="str">
        <f t="shared" si="6"/>
        <v/>
      </c>
      <c r="E29" s="762" t="str">
        <f t="shared" si="7"/>
        <v/>
      </c>
      <c r="F29" s="762" t="str">
        <f t="shared" si="8"/>
        <v/>
      </c>
      <c r="G29" s="722" t="str">
        <f t="shared" si="9"/>
        <v/>
      </c>
      <c r="H29" s="50"/>
      <c r="I29" s="50"/>
      <c r="J29" s="746"/>
      <c r="K29" s="119"/>
    </row>
    <row r="30" spans="1:12" ht="15" customHeight="1">
      <c r="A30" s="114"/>
      <c r="B30" s="866">
        <v>16</v>
      </c>
      <c r="C30" s="762" t="str">
        <f t="shared" si="5"/>
        <v/>
      </c>
      <c r="D30" s="762" t="str">
        <f t="shared" si="6"/>
        <v/>
      </c>
      <c r="E30" s="762" t="str">
        <f t="shared" si="7"/>
        <v/>
      </c>
      <c r="F30" s="762" t="str">
        <f t="shared" si="8"/>
        <v/>
      </c>
      <c r="G30" s="722" t="str">
        <f t="shared" si="9"/>
        <v/>
      </c>
      <c r="H30" s="50"/>
      <c r="I30" s="50"/>
      <c r="J30" s="746"/>
      <c r="K30" s="119"/>
    </row>
    <row r="31" spans="1:12" ht="15" customHeight="1">
      <c r="A31" s="114"/>
      <c r="B31" s="866">
        <v>17</v>
      </c>
      <c r="C31" s="762" t="str">
        <f t="shared" si="5"/>
        <v/>
      </c>
      <c r="D31" s="762" t="str">
        <f t="shared" si="6"/>
        <v/>
      </c>
      <c r="E31" s="762" t="str">
        <f t="shared" si="7"/>
        <v/>
      </c>
      <c r="F31" s="762" t="str">
        <f t="shared" si="8"/>
        <v/>
      </c>
      <c r="G31" s="722" t="str">
        <f t="shared" si="9"/>
        <v/>
      </c>
      <c r="H31" s="50"/>
      <c r="I31" s="50"/>
      <c r="J31" s="746"/>
      <c r="K31" s="119"/>
    </row>
    <row r="32" spans="1:12" ht="15" customHeight="1">
      <c r="A32" s="114"/>
      <c r="B32" s="866">
        <v>18</v>
      </c>
      <c r="C32" s="762" t="str">
        <f t="shared" si="5"/>
        <v/>
      </c>
      <c r="D32" s="762" t="str">
        <f t="shared" si="6"/>
        <v/>
      </c>
      <c r="E32" s="762" t="str">
        <f t="shared" si="7"/>
        <v/>
      </c>
      <c r="F32" s="762" t="str">
        <f t="shared" si="8"/>
        <v/>
      </c>
      <c r="G32" s="722" t="str">
        <f t="shared" si="9"/>
        <v/>
      </c>
      <c r="H32" s="50"/>
      <c r="I32" s="50"/>
      <c r="J32" s="746"/>
      <c r="K32" s="119"/>
    </row>
    <row r="33" spans="1:11" ht="15" customHeight="1">
      <c r="A33" s="114"/>
      <c r="B33" s="866">
        <v>19</v>
      </c>
      <c r="C33" s="762" t="str">
        <f t="shared" si="5"/>
        <v/>
      </c>
      <c r="D33" s="762" t="str">
        <f t="shared" si="6"/>
        <v/>
      </c>
      <c r="E33" s="762" t="str">
        <f t="shared" si="7"/>
        <v/>
      </c>
      <c r="F33" s="762" t="str">
        <f t="shared" si="8"/>
        <v/>
      </c>
      <c r="G33" s="722" t="str">
        <f t="shared" si="9"/>
        <v/>
      </c>
      <c r="H33" s="50"/>
      <c r="I33" s="50"/>
      <c r="J33" s="746"/>
      <c r="K33" s="119"/>
    </row>
    <row r="34" spans="1:11" ht="15" customHeight="1">
      <c r="A34" s="114"/>
      <c r="B34" s="866">
        <v>20</v>
      </c>
      <c r="C34" s="762" t="str">
        <f t="shared" si="5"/>
        <v/>
      </c>
      <c r="D34" s="762" t="str">
        <f t="shared" si="6"/>
        <v/>
      </c>
      <c r="E34" s="762" t="str">
        <f t="shared" si="7"/>
        <v/>
      </c>
      <c r="F34" s="762" t="str">
        <f t="shared" si="8"/>
        <v/>
      </c>
      <c r="G34" s="722" t="str">
        <f t="shared" si="9"/>
        <v/>
      </c>
      <c r="H34" s="50"/>
      <c r="I34" s="50"/>
      <c r="J34" s="746"/>
      <c r="K34" s="119"/>
    </row>
    <row r="35" spans="1:11" ht="15" customHeight="1">
      <c r="A35" s="114"/>
      <c r="B35" s="866">
        <v>21</v>
      </c>
      <c r="C35" s="762" t="str">
        <f t="shared" si="5"/>
        <v/>
      </c>
      <c r="D35" s="762" t="str">
        <f t="shared" si="6"/>
        <v/>
      </c>
      <c r="E35" s="762" t="str">
        <f t="shared" si="7"/>
        <v/>
      </c>
      <c r="F35" s="762" t="str">
        <f t="shared" si="8"/>
        <v/>
      </c>
      <c r="G35" s="722" t="str">
        <f t="shared" si="9"/>
        <v/>
      </c>
      <c r="H35" s="50"/>
      <c r="I35" s="50"/>
      <c r="J35" s="746"/>
      <c r="K35" s="119"/>
    </row>
    <row r="36" spans="1:11" ht="15" customHeight="1">
      <c r="A36" s="114"/>
      <c r="B36" s="866">
        <v>22</v>
      </c>
      <c r="C36" s="762" t="str">
        <f t="shared" si="5"/>
        <v/>
      </c>
      <c r="D36" s="762" t="str">
        <f t="shared" si="6"/>
        <v/>
      </c>
      <c r="E36" s="762" t="str">
        <f t="shared" si="7"/>
        <v/>
      </c>
      <c r="F36" s="762" t="str">
        <f t="shared" si="8"/>
        <v/>
      </c>
      <c r="G36" s="722" t="str">
        <f t="shared" si="9"/>
        <v/>
      </c>
      <c r="H36" s="50"/>
      <c r="I36" s="50"/>
      <c r="J36" s="746"/>
      <c r="K36" s="119"/>
    </row>
    <row r="37" spans="1:11" s="32" customFormat="1" ht="15" customHeight="1">
      <c r="A37" s="757"/>
      <c r="B37" s="866">
        <v>23</v>
      </c>
      <c r="C37" s="762" t="str">
        <f t="shared" si="5"/>
        <v/>
      </c>
      <c r="D37" s="762" t="str">
        <f t="shared" si="6"/>
        <v/>
      </c>
      <c r="E37" s="762" t="str">
        <f t="shared" si="7"/>
        <v/>
      </c>
      <c r="F37" s="762" t="str">
        <f t="shared" si="8"/>
        <v/>
      </c>
      <c r="G37" s="722" t="str">
        <f t="shared" si="9"/>
        <v/>
      </c>
      <c r="H37" s="755"/>
      <c r="I37" s="755"/>
      <c r="J37" s="746"/>
      <c r="K37" s="164"/>
    </row>
    <row r="38" spans="1:11" s="32" customFormat="1" ht="15" customHeight="1">
      <c r="A38" s="757"/>
      <c r="B38" s="866">
        <v>24</v>
      </c>
      <c r="C38" s="762" t="str">
        <f t="shared" si="5"/>
        <v/>
      </c>
      <c r="D38" s="762" t="str">
        <f t="shared" si="6"/>
        <v/>
      </c>
      <c r="E38" s="762" t="str">
        <f t="shared" si="7"/>
        <v/>
      </c>
      <c r="F38" s="762" t="str">
        <f t="shared" si="8"/>
        <v/>
      </c>
      <c r="G38" s="722" t="str">
        <f t="shared" si="9"/>
        <v/>
      </c>
      <c r="H38" s="755"/>
      <c r="I38" s="755"/>
      <c r="J38" s="746"/>
      <c r="K38" s="164"/>
    </row>
    <row r="39" spans="1:11" s="32" customFormat="1" ht="15" customHeight="1">
      <c r="A39" s="757"/>
      <c r="B39" s="866">
        <v>25</v>
      </c>
      <c r="C39" s="762" t="str">
        <f t="shared" si="5"/>
        <v/>
      </c>
      <c r="D39" s="762" t="str">
        <f t="shared" si="6"/>
        <v/>
      </c>
      <c r="E39" s="762" t="str">
        <f t="shared" si="7"/>
        <v/>
      </c>
      <c r="F39" s="762" t="str">
        <f t="shared" si="8"/>
        <v/>
      </c>
      <c r="G39" s="722" t="str">
        <f t="shared" si="9"/>
        <v/>
      </c>
      <c r="H39" s="755"/>
      <c r="I39" s="755"/>
      <c r="J39" s="746"/>
      <c r="K39" s="164"/>
    </row>
    <row r="40" spans="1:11" ht="15" customHeight="1">
      <c r="A40" s="114"/>
      <c r="B40" s="866">
        <v>26</v>
      </c>
      <c r="C40" s="762" t="str">
        <f t="shared" si="5"/>
        <v/>
      </c>
      <c r="D40" s="762" t="str">
        <f t="shared" si="6"/>
        <v/>
      </c>
      <c r="E40" s="762" t="str">
        <f t="shared" si="7"/>
        <v/>
      </c>
      <c r="F40" s="762" t="str">
        <f t="shared" si="8"/>
        <v/>
      </c>
      <c r="G40" s="722" t="str">
        <f t="shared" si="9"/>
        <v/>
      </c>
      <c r="H40" s="50"/>
      <c r="I40" s="50"/>
      <c r="J40" s="47"/>
      <c r="K40" s="119"/>
    </row>
    <row r="41" spans="1:11" ht="15" customHeight="1">
      <c r="A41" s="114"/>
      <c r="B41" s="866">
        <v>27</v>
      </c>
      <c r="C41" s="762" t="str">
        <f t="shared" si="5"/>
        <v/>
      </c>
      <c r="D41" s="762" t="str">
        <f t="shared" si="6"/>
        <v/>
      </c>
      <c r="E41" s="762" t="str">
        <f t="shared" si="7"/>
        <v/>
      </c>
      <c r="F41" s="762" t="str">
        <f t="shared" si="8"/>
        <v/>
      </c>
      <c r="G41" s="722" t="str">
        <f t="shared" si="9"/>
        <v/>
      </c>
      <c r="H41" s="50"/>
      <c r="I41" s="50"/>
      <c r="J41" s="748"/>
      <c r="K41" s="119"/>
    </row>
    <row r="42" spans="1:11" ht="15" customHeight="1">
      <c r="A42" s="114"/>
      <c r="B42" s="866">
        <v>28</v>
      </c>
      <c r="C42" s="762" t="str">
        <f t="shared" si="5"/>
        <v/>
      </c>
      <c r="D42" s="762" t="str">
        <f t="shared" si="6"/>
        <v/>
      </c>
      <c r="E42" s="762" t="str">
        <f t="shared" si="7"/>
        <v/>
      </c>
      <c r="F42" s="762" t="str">
        <f t="shared" si="8"/>
        <v/>
      </c>
      <c r="G42" s="722" t="str">
        <f t="shared" si="9"/>
        <v/>
      </c>
      <c r="J42" s="99"/>
      <c r="K42" s="119"/>
    </row>
    <row r="43" spans="1:11" ht="15" customHeight="1">
      <c r="A43" s="114"/>
      <c r="B43" s="866">
        <v>29</v>
      </c>
      <c r="C43" s="762" t="str">
        <f t="shared" si="5"/>
        <v/>
      </c>
      <c r="D43" s="762" t="str">
        <f t="shared" si="6"/>
        <v/>
      </c>
      <c r="E43" s="762" t="str">
        <f t="shared" si="7"/>
        <v/>
      </c>
      <c r="F43" s="762" t="str">
        <f t="shared" si="8"/>
        <v/>
      </c>
      <c r="G43" s="722" t="str">
        <f t="shared" si="9"/>
        <v/>
      </c>
      <c r="J43" s="99"/>
      <c r="K43" s="119"/>
    </row>
    <row r="44" spans="1:11" ht="15" customHeight="1">
      <c r="A44" s="114"/>
      <c r="B44" s="866">
        <v>30</v>
      </c>
      <c r="C44" s="762" t="str">
        <f t="shared" si="5"/>
        <v/>
      </c>
      <c r="D44" s="762" t="str">
        <f t="shared" si="6"/>
        <v/>
      </c>
      <c r="E44" s="762" t="str">
        <f t="shared" si="7"/>
        <v/>
      </c>
      <c r="F44" s="762" t="str">
        <f t="shared" si="8"/>
        <v/>
      </c>
      <c r="G44" s="722" t="str">
        <f t="shared" si="9"/>
        <v/>
      </c>
      <c r="J44" s="99"/>
      <c r="K44" s="119"/>
    </row>
    <row r="45" spans="1:11" ht="15" customHeight="1">
      <c r="A45" s="114"/>
      <c r="B45" s="866">
        <v>31</v>
      </c>
      <c r="C45" s="762" t="str">
        <f t="shared" si="5"/>
        <v/>
      </c>
      <c r="D45" s="762" t="str">
        <f t="shared" si="6"/>
        <v/>
      </c>
      <c r="E45" s="762" t="str">
        <f t="shared" si="7"/>
        <v/>
      </c>
      <c r="F45" s="762" t="str">
        <f t="shared" si="8"/>
        <v/>
      </c>
      <c r="G45" s="722" t="str">
        <f t="shared" si="9"/>
        <v/>
      </c>
      <c r="J45" s="99"/>
      <c r="K45" s="119"/>
    </row>
    <row r="46" spans="1:11" ht="15" customHeight="1">
      <c r="A46" s="114"/>
      <c r="B46" s="866">
        <v>32</v>
      </c>
      <c r="C46" s="762" t="str">
        <f t="shared" si="5"/>
        <v/>
      </c>
      <c r="D46" s="762" t="str">
        <f t="shared" si="6"/>
        <v/>
      </c>
      <c r="E46" s="762" t="str">
        <f t="shared" si="7"/>
        <v/>
      </c>
      <c r="F46" s="762" t="str">
        <f t="shared" si="8"/>
        <v/>
      </c>
      <c r="G46" s="722" t="str">
        <f t="shared" si="9"/>
        <v/>
      </c>
      <c r="J46" s="99"/>
      <c r="K46" s="119"/>
    </row>
    <row r="47" spans="1:11" ht="15" customHeight="1">
      <c r="A47" s="114"/>
      <c r="B47" s="866">
        <v>33</v>
      </c>
      <c r="C47" s="762" t="str">
        <f t="shared" si="5"/>
        <v/>
      </c>
      <c r="D47" s="762" t="str">
        <f t="shared" si="6"/>
        <v/>
      </c>
      <c r="E47" s="762" t="str">
        <f t="shared" si="7"/>
        <v/>
      </c>
      <c r="F47" s="762" t="str">
        <f t="shared" si="8"/>
        <v/>
      </c>
      <c r="G47" s="722" t="str">
        <f t="shared" si="9"/>
        <v/>
      </c>
      <c r="J47" s="99"/>
      <c r="K47" s="119"/>
    </row>
    <row r="48" spans="1:11" ht="15" customHeight="1">
      <c r="A48" s="114"/>
      <c r="B48" s="866">
        <v>34</v>
      </c>
      <c r="C48" s="762" t="str">
        <f t="shared" si="5"/>
        <v/>
      </c>
      <c r="D48" s="762" t="str">
        <f t="shared" si="6"/>
        <v/>
      </c>
      <c r="E48" s="762" t="str">
        <f t="shared" si="7"/>
        <v/>
      </c>
      <c r="F48" s="762" t="str">
        <f t="shared" si="8"/>
        <v/>
      </c>
      <c r="G48" s="722" t="str">
        <f t="shared" si="9"/>
        <v/>
      </c>
      <c r="J48" s="99"/>
      <c r="K48" s="119"/>
    </row>
    <row r="49" spans="1:11" ht="15" customHeight="1">
      <c r="A49" s="114"/>
      <c r="B49" s="866">
        <v>35</v>
      </c>
      <c r="C49" s="762" t="str">
        <f t="shared" si="5"/>
        <v/>
      </c>
      <c r="D49" s="762" t="str">
        <f t="shared" si="6"/>
        <v/>
      </c>
      <c r="E49" s="762" t="str">
        <f t="shared" si="7"/>
        <v/>
      </c>
      <c r="F49" s="762" t="str">
        <f t="shared" si="8"/>
        <v/>
      </c>
      <c r="G49" s="722" t="str">
        <f t="shared" si="9"/>
        <v/>
      </c>
      <c r="J49" s="99"/>
      <c r="K49" s="119"/>
    </row>
    <row r="50" spans="1:11" ht="15" customHeight="1">
      <c r="A50" s="114"/>
      <c r="B50" s="866">
        <v>36</v>
      </c>
      <c r="C50" s="762" t="str">
        <f t="shared" si="5"/>
        <v/>
      </c>
      <c r="D50" s="762" t="str">
        <f t="shared" si="6"/>
        <v/>
      </c>
      <c r="E50" s="762" t="str">
        <f t="shared" si="7"/>
        <v/>
      </c>
      <c r="F50" s="762" t="str">
        <f t="shared" si="8"/>
        <v/>
      </c>
      <c r="G50" s="722" t="str">
        <f t="shared" si="9"/>
        <v/>
      </c>
      <c r="J50" s="99"/>
      <c r="K50" s="119"/>
    </row>
    <row r="51" spans="1:11" ht="15" customHeight="1">
      <c r="A51" s="114"/>
      <c r="B51" s="866">
        <v>37</v>
      </c>
      <c r="C51" s="762" t="str">
        <f t="shared" si="5"/>
        <v/>
      </c>
      <c r="D51" s="762" t="str">
        <f t="shared" si="6"/>
        <v/>
      </c>
      <c r="E51" s="762" t="str">
        <f t="shared" si="7"/>
        <v/>
      </c>
      <c r="F51" s="762" t="str">
        <f t="shared" si="8"/>
        <v/>
      </c>
      <c r="G51" s="722" t="str">
        <f t="shared" si="9"/>
        <v/>
      </c>
      <c r="J51" s="99"/>
      <c r="K51" s="119"/>
    </row>
    <row r="52" spans="1:11" ht="15" customHeight="1">
      <c r="A52" s="114"/>
      <c r="B52" s="866">
        <v>38</v>
      </c>
      <c r="C52" s="762" t="str">
        <f t="shared" si="5"/>
        <v/>
      </c>
      <c r="D52" s="762" t="str">
        <f t="shared" si="6"/>
        <v/>
      </c>
      <c r="E52" s="762" t="str">
        <f t="shared" si="7"/>
        <v/>
      </c>
      <c r="F52" s="762" t="str">
        <f t="shared" si="8"/>
        <v/>
      </c>
      <c r="G52" s="722" t="str">
        <f t="shared" si="9"/>
        <v/>
      </c>
      <c r="J52" s="99"/>
      <c r="K52" s="119"/>
    </row>
    <row r="53" spans="1:11" ht="15" customHeight="1">
      <c r="A53" s="114"/>
      <c r="B53" s="866">
        <v>39</v>
      </c>
      <c r="C53" s="762" t="str">
        <f t="shared" si="5"/>
        <v/>
      </c>
      <c r="D53" s="762" t="str">
        <f t="shared" si="6"/>
        <v/>
      </c>
      <c r="E53" s="762" t="str">
        <f t="shared" si="7"/>
        <v/>
      </c>
      <c r="F53" s="762" t="str">
        <f t="shared" si="8"/>
        <v/>
      </c>
      <c r="G53" s="722" t="str">
        <f t="shared" si="9"/>
        <v/>
      </c>
      <c r="J53" s="99"/>
      <c r="K53" s="119"/>
    </row>
    <row r="54" spans="1:11" ht="15" customHeight="1">
      <c r="A54" s="114"/>
      <c r="B54" s="866">
        <v>40</v>
      </c>
      <c r="C54" s="762" t="str">
        <f t="shared" si="5"/>
        <v/>
      </c>
      <c r="D54" s="762" t="str">
        <f t="shared" si="6"/>
        <v/>
      </c>
      <c r="E54" s="762" t="str">
        <f t="shared" si="7"/>
        <v/>
      </c>
      <c r="F54" s="762" t="str">
        <f t="shared" si="8"/>
        <v/>
      </c>
      <c r="G54" s="722" t="str">
        <f t="shared" si="9"/>
        <v/>
      </c>
      <c r="J54" s="99"/>
      <c r="K54" s="119"/>
    </row>
    <row r="55" spans="1:11" ht="15" customHeight="1">
      <c r="A55" s="114"/>
      <c r="B55" s="866">
        <v>41</v>
      </c>
      <c r="C55" s="762" t="str">
        <f t="shared" si="5"/>
        <v/>
      </c>
      <c r="D55" s="762" t="str">
        <f t="shared" si="6"/>
        <v/>
      </c>
      <c r="E55" s="762" t="str">
        <f t="shared" si="7"/>
        <v/>
      </c>
      <c r="F55" s="762" t="str">
        <f t="shared" si="8"/>
        <v/>
      </c>
      <c r="G55" s="722" t="str">
        <f t="shared" si="9"/>
        <v/>
      </c>
      <c r="J55" s="99"/>
      <c r="K55" s="119"/>
    </row>
    <row r="56" spans="1:11" ht="15" customHeight="1">
      <c r="A56" s="114"/>
      <c r="B56" s="866">
        <v>42</v>
      </c>
      <c r="C56" s="762" t="str">
        <f t="shared" si="5"/>
        <v/>
      </c>
      <c r="D56" s="762" t="str">
        <f t="shared" si="6"/>
        <v/>
      </c>
      <c r="E56" s="762" t="str">
        <f t="shared" si="7"/>
        <v/>
      </c>
      <c r="F56" s="762" t="str">
        <f t="shared" si="8"/>
        <v/>
      </c>
      <c r="G56" s="722" t="str">
        <f t="shared" si="9"/>
        <v/>
      </c>
      <c r="J56" s="99"/>
      <c r="K56" s="119"/>
    </row>
    <row r="57" spans="1:11" ht="15" customHeight="1">
      <c r="A57" s="114"/>
      <c r="B57" s="866">
        <v>43</v>
      </c>
      <c r="C57" s="762" t="str">
        <f t="shared" si="5"/>
        <v/>
      </c>
      <c r="D57" s="762" t="str">
        <f t="shared" si="6"/>
        <v/>
      </c>
      <c r="E57" s="762" t="str">
        <f t="shared" si="7"/>
        <v/>
      </c>
      <c r="F57" s="762" t="str">
        <f t="shared" si="8"/>
        <v/>
      </c>
      <c r="G57" s="722" t="str">
        <f t="shared" si="9"/>
        <v/>
      </c>
      <c r="J57" s="99"/>
      <c r="K57" s="119"/>
    </row>
    <row r="58" spans="1:11" ht="15" customHeight="1">
      <c r="A58" s="114"/>
      <c r="B58" s="866">
        <v>44</v>
      </c>
      <c r="C58" s="762" t="str">
        <f t="shared" si="5"/>
        <v/>
      </c>
      <c r="D58" s="762" t="str">
        <f t="shared" si="6"/>
        <v/>
      </c>
      <c r="E58" s="762" t="str">
        <f t="shared" si="7"/>
        <v/>
      </c>
      <c r="F58" s="762" t="str">
        <f t="shared" si="8"/>
        <v/>
      </c>
      <c r="G58" s="722" t="str">
        <f t="shared" si="9"/>
        <v/>
      </c>
      <c r="J58" s="99"/>
      <c r="K58" s="119"/>
    </row>
    <row r="59" spans="1:11" ht="15" customHeight="1">
      <c r="A59" s="114"/>
      <c r="B59" s="866">
        <v>45</v>
      </c>
      <c r="C59" s="762" t="str">
        <f t="shared" si="5"/>
        <v/>
      </c>
      <c r="D59" s="762" t="str">
        <f t="shared" si="6"/>
        <v/>
      </c>
      <c r="E59" s="762" t="str">
        <f t="shared" si="7"/>
        <v/>
      </c>
      <c r="F59" s="762" t="str">
        <f t="shared" si="8"/>
        <v/>
      </c>
      <c r="G59" s="722" t="str">
        <f t="shared" si="9"/>
        <v/>
      </c>
      <c r="J59" s="99"/>
      <c r="K59" s="119"/>
    </row>
    <row r="60" spans="1:11" ht="15" customHeight="1">
      <c r="A60" s="114"/>
      <c r="B60" s="866">
        <v>46</v>
      </c>
      <c r="C60" s="762" t="str">
        <f t="shared" si="5"/>
        <v/>
      </c>
      <c r="D60" s="762" t="str">
        <f t="shared" si="6"/>
        <v/>
      </c>
      <c r="E60" s="762" t="str">
        <f t="shared" si="7"/>
        <v/>
      </c>
      <c r="F60" s="762" t="str">
        <f t="shared" si="8"/>
        <v/>
      </c>
      <c r="G60" s="722" t="str">
        <f t="shared" si="9"/>
        <v/>
      </c>
      <c r="K60" s="119"/>
    </row>
    <row r="61" spans="1:11" ht="15" customHeight="1">
      <c r="A61" s="114"/>
      <c r="B61" s="866">
        <v>47</v>
      </c>
      <c r="C61" s="762" t="str">
        <f t="shared" si="5"/>
        <v/>
      </c>
      <c r="D61" s="762" t="str">
        <f t="shared" si="6"/>
        <v/>
      </c>
      <c r="E61" s="762" t="str">
        <f t="shared" si="7"/>
        <v/>
      </c>
      <c r="F61" s="762" t="str">
        <f t="shared" si="8"/>
        <v/>
      </c>
      <c r="G61" s="722" t="str">
        <f t="shared" si="9"/>
        <v/>
      </c>
      <c r="K61" s="119"/>
    </row>
    <row r="62" spans="1:11" ht="15" customHeight="1">
      <c r="A62" s="114"/>
      <c r="B62" s="866">
        <v>48</v>
      </c>
      <c r="C62" s="762" t="str">
        <f t="shared" si="5"/>
        <v/>
      </c>
      <c r="D62" s="762" t="str">
        <f t="shared" si="6"/>
        <v/>
      </c>
      <c r="E62" s="762" t="str">
        <f t="shared" si="7"/>
        <v/>
      </c>
      <c r="F62" s="762" t="str">
        <f t="shared" si="8"/>
        <v/>
      </c>
      <c r="G62" s="722" t="str">
        <f t="shared" si="9"/>
        <v/>
      </c>
      <c r="K62" s="119"/>
    </row>
    <row r="63" spans="1:11" ht="15" customHeight="1">
      <c r="A63" s="114"/>
      <c r="B63" s="866">
        <v>49</v>
      </c>
      <c r="C63" s="762" t="str">
        <f t="shared" si="5"/>
        <v/>
      </c>
      <c r="D63" s="762" t="str">
        <f t="shared" si="6"/>
        <v/>
      </c>
      <c r="E63" s="762" t="str">
        <f t="shared" si="7"/>
        <v/>
      </c>
      <c r="F63" s="762" t="str">
        <f t="shared" si="8"/>
        <v/>
      </c>
      <c r="G63" s="722" t="str">
        <f t="shared" si="9"/>
        <v/>
      </c>
      <c r="K63" s="119"/>
    </row>
    <row r="64" spans="1:11" ht="15" customHeight="1">
      <c r="A64" s="114"/>
      <c r="B64" s="866">
        <v>50</v>
      </c>
      <c r="C64" s="762" t="str">
        <f t="shared" si="5"/>
        <v/>
      </c>
      <c r="D64" s="762" t="str">
        <f t="shared" si="6"/>
        <v/>
      </c>
      <c r="E64" s="762" t="str">
        <f t="shared" si="7"/>
        <v/>
      </c>
      <c r="F64" s="762" t="str">
        <f t="shared" si="8"/>
        <v/>
      </c>
      <c r="G64" s="722" t="str">
        <f t="shared" si="9"/>
        <v/>
      </c>
      <c r="K64" s="119"/>
    </row>
    <row r="65" spans="1:11" ht="15" customHeight="1">
      <c r="A65" s="114"/>
      <c r="B65" s="866">
        <v>51</v>
      </c>
      <c r="C65" s="762" t="str">
        <f t="shared" si="5"/>
        <v/>
      </c>
      <c r="D65" s="762" t="str">
        <f t="shared" si="6"/>
        <v/>
      </c>
      <c r="E65" s="762" t="str">
        <f t="shared" si="7"/>
        <v/>
      </c>
      <c r="F65" s="762" t="str">
        <f t="shared" si="8"/>
        <v/>
      </c>
      <c r="G65" s="722" t="str">
        <f t="shared" si="9"/>
        <v/>
      </c>
      <c r="K65" s="119"/>
    </row>
    <row r="66" spans="1:11" ht="15" customHeight="1">
      <c r="A66" s="114"/>
      <c r="B66" s="866">
        <v>52</v>
      </c>
      <c r="C66" s="762" t="str">
        <f t="shared" si="5"/>
        <v/>
      </c>
      <c r="D66" s="762" t="str">
        <f t="shared" si="6"/>
        <v/>
      </c>
      <c r="E66" s="762" t="str">
        <f t="shared" si="7"/>
        <v/>
      </c>
      <c r="F66" s="762" t="str">
        <f t="shared" si="8"/>
        <v/>
      </c>
      <c r="G66" s="722" t="str">
        <f t="shared" si="9"/>
        <v/>
      </c>
      <c r="K66" s="119"/>
    </row>
    <row r="67" spans="1:11" ht="15" customHeight="1">
      <c r="A67" s="114"/>
      <c r="B67" s="866">
        <v>53</v>
      </c>
      <c r="C67" s="762" t="str">
        <f t="shared" si="5"/>
        <v/>
      </c>
      <c r="D67" s="762" t="str">
        <f t="shared" si="6"/>
        <v/>
      </c>
      <c r="E67" s="762" t="str">
        <f t="shared" si="7"/>
        <v/>
      </c>
      <c r="F67" s="762" t="str">
        <f t="shared" si="8"/>
        <v/>
      </c>
      <c r="G67" s="722" t="str">
        <f t="shared" si="9"/>
        <v/>
      </c>
      <c r="K67" s="119"/>
    </row>
    <row r="68" spans="1:11" ht="15" customHeight="1">
      <c r="A68" s="114"/>
      <c r="B68" s="866">
        <v>54</v>
      </c>
      <c r="C68" s="762" t="str">
        <f t="shared" si="5"/>
        <v/>
      </c>
      <c r="D68" s="762" t="str">
        <f t="shared" si="6"/>
        <v/>
      </c>
      <c r="E68" s="762" t="str">
        <f t="shared" si="7"/>
        <v/>
      </c>
      <c r="F68" s="762" t="str">
        <f t="shared" si="8"/>
        <v/>
      </c>
      <c r="G68" s="722" t="str">
        <f t="shared" si="9"/>
        <v/>
      </c>
      <c r="K68" s="119"/>
    </row>
    <row r="69" spans="1:11" ht="15" customHeight="1">
      <c r="A69" s="114"/>
      <c r="B69" s="866">
        <v>55</v>
      </c>
      <c r="C69" s="762" t="str">
        <f t="shared" si="5"/>
        <v/>
      </c>
      <c r="D69" s="762" t="str">
        <f t="shared" si="6"/>
        <v/>
      </c>
      <c r="E69" s="762" t="str">
        <f t="shared" si="7"/>
        <v/>
      </c>
      <c r="F69" s="762" t="str">
        <f t="shared" si="8"/>
        <v/>
      </c>
      <c r="G69" s="722" t="str">
        <f t="shared" si="9"/>
        <v/>
      </c>
      <c r="K69" s="119"/>
    </row>
    <row r="70" spans="1:11" ht="15" customHeight="1">
      <c r="A70" s="114"/>
      <c r="B70" s="866">
        <v>56</v>
      </c>
      <c r="C70" s="762" t="str">
        <f t="shared" si="5"/>
        <v/>
      </c>
      <c r="D70" s="762" t="str">
        <f t="shared" si="6"/>
        <v/>
      </c>
      <c r="E70" s="762" t="str">
        <f t="shared" si="7"/>
        <v/>
      </c>
      <c r="F70" s="762" t="str">
        <f t="shared" si="8"/>
        <v/>
      </c>
      <c r="G70" s="722" t="str">
        <f t="shared" si="9"/>
        <v/>
      </c>
      <c r="K70" s="119"/>
    </row>
    <row r="71" spans="1:11" ht="15" customHeight="1">
      <c r="A71" s="114"/>
      <c r="B71" s="866">
        <v>57</v>
      </c>
      <c r="C71" s="762" t="str">
        <f t="shared" si="5"/>
        <v/>
      </c>
      <c r="D71" s="762" t="str">
        <f t="shared" si="6"/>
        <v/>
      </c>
      <c r="E71" s="762" t="str">
        <f t="shared" si="7"/>
        <v/>
      </c>
      <c r="F71" s="762" t="str">
        <f t="shared" si="8"/>
        <v/>
      </c>
      <c r="G71" s="722" t="str">
        <f t="shared" si="9"/>
        <v/>
      </c>
      <c r="K71" s="119"/>
    </row>
    <row r="72" spans="1:11" ht="15" customHeight="1">
      <c r="A72" s="114"/>
      <c r="B72" s="866">
        <v>58</v>
      </c>
      <c r="C72" s="762" t="str">
        <f t="shared" si="5"/>
        <v/>
      </c>
      <c r="D72" s="762" t="str">
        <f t="shared" si="6"/>
        <v/>
      </c>
      <c r="E72" s="762" t="str">
        <f t="shared" si="7"/>
        <v/>
      </c>
      <c r="F72" s="762" t="str">
        <f t="shared" si="8"/>
        <v/>
      </c>
      <c r="G72" s="722" t="str">
        <f t="shared" si="9"/>
        <v/>
      </c>
      <c r="K72" s="119"/>
    </row>
    <row r="73" spans="1:11" ht="15" customHeight="1">
      <c r="A73" s="114"/>
      <c r="B73" s="866">
        <v>59</v>
      </c>
      <c r="C73" s="762" t="str">
        <f t="shared" si="5"/>
        <v/>
      </c>
      <c r="D73" s="762" t="str">
        <f t="shared" si="6"/>
        <v/>
      </c>
      <c r="E73" s="762" t="str">
        <f t="shared" si="7"/>
        <v/>
      </c>
      <c r="F73" s="762" t="str">
        <f t="shared" si="8"/>
        <v/>
      </c>
      <c r="G73" s="722" t="str">
        <f t="shared" si="9"/>
        <v/>
      </c>
      <c r="K73" s="119"/>
    </row>
    <row r="74" spans="1:11" ht="15" customHeight="1">
      <c r="A74" s="114"/>
      <c r="B74" s="866">
        <v>60</v>
      </c>
      <c r="C74" s="762" t="str">
        <f t="shared" si="5"/>
        <v/>
      </c>
      <c r="D74" s="762" t="str">
        <f t="shared" si="6"/>
        <v/>
      </c>
      <c r="E74" s="762" t="str">
        <f t="shared" si="7"/>
        <v/>
      </c>
      <c r="F74" s="762" t="str">
        <f t="shared" si="8"/>
        <v/>
      </c>
      <c r="G74" s="722" t="str">
        <f t="shared" si="9"/>
        <v/>
      </c>
      <c r="K74" s="119"/>
    </row>
    <row r="75" spans="1:11" ht="15" customHeight="1">
      <c r="A75" s="114"/>
      <c r="B75" s="866">
        <v>61</v>
      </c>
      <c r="C75" s="762" t="str">
        <f t="shared" si="5"/>
        <v/>
      </c>
      <c r="D75" s="762" t="str">
        <f t="shared" si="6"/>
        <v/>
      </c>
      <c r="E75" s="762" t="str">
        <f t="shared" si="7"/>
        <v/>
      </c>
      <c r="F75" s="762" t="str">
        <f t="shared" si="8"/>
        <v/>
      </c>
      <c r="G75" s="722" t="str">
        <f t="shared" si="9"/>
        <v/>
      </c>
      <c r="K75" s="119"/>
    </row>
    <row r="76" spans="1:11" ht="15" customHeight="1">
      <c r="A76" s="114"/>
      <c r="B76" s="866">
        <v>62</v>
      </c>
      <c r="C76" s="762" t="str">
        <f t="shared" si="5"/>
        <v/>
      </c>
      <c r="D76" s="762" t="str">
        <f t="shared" si="6"/>
        <v/>
      </c>
      <c r="E76" s="762" t="str">
        <f t="shared" si="7"/>
        <v/>
      </c>
      <c r="F76" s="762" t="str">
        <f t="shared" si="8"/>
        <v/>
      </c>
      <c r="G76" s="722" t="str">
        <f t="shared" si="9"/>
        <v/>
      </c>
      <c r="K76" s="119"/>
    </row>
    <row r="77" spans="1:11" ht="15" customHeight="1">
      <c r="A77" s="114"/>
      <c r="B77" s="866">
        <v>63</v>
      </c>
      <c r="C77" s="762" t="str">
        <f t="shared" si="5"/>
        <v/>
      </c>
      <c r="D77" s="762" t="str">
        <f t="shared" si="6"/>
        <v/>
      </c>
      <c r="E77" s="762" t="str">
        <f t="shared" si="7"/>
        <v/>
      </c>
      <c r="F77" s="762" t="str">
        <f t="shared" si="8"/>
        <v/>
      </c>
      <c r="G77" s="722" t="str">
        <f t="shared" si="9"/>
        <v/>
      </c>
      <c r="K77" s="119"/>
    </row>
    <row r="78" spans="1:11" ht="15" customHeight="1">
      <c r="A78" s="114"/>
      <c r="B78" s="866">
        <v>64</v>
      </c>
      <c r="C78" s="762" t="str">
        <f t="shared" si="5"/>
        <v/>
      </c>
      <c r="D78" s="762" t="str">
        <f t="shared" si="6"/>
        <v/>
      </c>
      <c r="E78" s="762" t="str">
        <f t="shared" si="7"/>
        <v/>
      </c>
      <c r="F78" s="762" t="str">
        <f t="shared" si="8"/>
        <v/>
      </c>
      <c r="G78" s="722" t="str">
        <f t="shared" si="9"/>
        <v/>
      </c>
      <c r="K78" s="119"/>
    </row>
    <row r="79" spans="1:11" ht="15" customHeight="1">
      <c r="A79" s="114"/>
      <c r="B79" s="866">
        <v>65</v>
      </c>
      <c r="C79" s="762" t="str">
        <f t="shared" si="5"/>
        <v/>
      </c>
      <c r="D79" s="762" t="str">
        <f t="shared" si="6"/>
        <v/>
      </c>
      <c r="E79" s="762" t="str">
        <f t="shared" si="7"/>
        <v/>
      </c>
      <c r="F79" s="762" t="str">
        <f t="shared" si="8"/>
        <v/>
      </c>
      <c r="G79" s="722" t="str">
        <f t="shared" si="9"/>
        <v/>
      </c>
      <c r="K79" s="119"/>
    </row>
    <row r="80" spans="1:11" ht="15" customHeight="1">
      <c r="A80" s="114"/>
      <c r="B80" s="866">
        <v>66</v>
      </c>
      <c r="C80" s="762" t="str">
        <f t="shared" ref="C80:C94" si="10">IF($F$4&gt;=B80,VLOOKUP(CONCATENATE("portfolio_",$B80),portfolio_p.p,2,0),"")</f>
        <v/>
      </c>
      <c r="D80" s="762" t="str">
        <f t="shared" ref="D80:D94" si="11">IF($F$4&gt;=B80,VLOOKUP(CONCATENATE("portfolio_",$B80),portfolio_p.p,3,0),"")</f>
        <v/>
      </c>
      <c r="E80" s="762" t="str">
        <f t="shared" ref="E80:E94" si="12">IF($F$4&gt;=B80,VLOOKUP(CONCATENATE("portfolio_",$B80),portfolio_p.p,4,0),"")</f>
        <v/>
      </c>
      <c r="F80" s="762" t="str">
        <f t="shared" ref="F80:F94" si="13">IF($F$4&gt;=B80,VLOOKUP(CONCATENATE("portfolio_",$B80),portfolio_p.p,5,0),"")</f>
        <v/>
      </c>
      <c r="G80" s="722" t="str">
        <f t="shared" ref="G80:G94" si="14">IF($F$4&gt;=B80,VLOOKUP(CONCATENATE("portfolio_",$B80),portfolio_p.p,6,0),"")</f>
        <v/>
      </c>
      <c r="K80" s="119"/>
    </row>
    <row r="81" spans="1:11" ht="15" customHeight="1">
      <c r="A81" s="114"/>
      <c r="B81" s="866">
        <v>67</v>
      </c>
      <c r="C81" s="762" t="str">
        <f t="shared" si="10"/>
        <v/>
      </c>
      <c r="D81" s="762" t="str">
        <f t="shared" si="11"/>
        <v/>
      </c>
      <c r="E81" s="762" t="str">
        <f t="shared" si="12"/>
        <v/>
      </c>
      <c r="F81" s="762" t="str">
        <f t="shared" si="13"/>
        <v/>
      </c>
      <c r="G81" s="722" t="str">
        <f t="shared" si="14"/>
        <v/>
      </c>
      <c r="K81" s="119"/>
    </row>
    <row r="82" spans="1:11" ht="15" customHeight="1">
      <c r="A82" s="114"/>
      <c r="B82" s="866">
        <v>68</v>
      </c>
      <c r="C82" s="762" t="str">
        <f t="shared" si="10"/>
        <v/>
      </c>
      <c r="D82" s="762" t="str">
        <f t="shared" si="11"/>
        <v/>
      </c>
      <c r="E82" s="762" t="str">
        <f t="shared" si="12"/>
        <v/>
      </c>
      <c r="F82" s="762" t="str">
        <f t="shared" si="13"/>
        <v/>
      </c>
      <c r="G82" s="722" t="str">
        <f t="shared" si="14"/>
        <v/>
      </c>
      <c r="K82" s="119"/>
    </row>
    <row r="83" spans="1:11" ht="15" customHeight="1">
      <c r="A83" s="114"/>
      <c r="B83" s="866">
        <v>69</v>
      </c>
      <c r="C83" s="762" t="str">
        <f t="shared" si="10"/>
        <v/>
      </c>
      <c r="D83" s="762" t="str">
        <f t="shared" si="11"/>
        <v/>
      </c>
      <c r="E83" s="762" t="str">
        <f t="shared" si="12"/>
        <v/>
      </c>
      <c r="F83" s="762" t="str">
        <f t="shared" si="13"/>
        <v/>
      </c>
      <c r="G83" s="722" t="str">
        <f t="shared" si="14"/>
        <v/>
      </c>
      <c r="K83" s="119"/>
    </row>
    <row r="84" spans="1:11" ht="15" customHeight="1">
      <c r="A84" s="114"/>
      <c r="B84" s="866">
        <v>70</v>
      </c>
      <c r="C84" s="762" t="str">
        <f t="shared" si="10"/>
        <v/>
      </c>
      <c r="D84" s="762" t="str">
        <f t="shared" si="11"/>
        <v/>
      </c>
      <c r="E84" s="762" t="str">
        <f t="shared" si="12"/>
        <v/>
      </c>
      <c r="F84" s="762" t="str">
        <f t="shared" si="13"/>
        <v/>
      </c>
      <c r="G84" s="722" t="str">
        <f t="shared" si="14"/>
        <v/>
      </c>
      <c r="K84" s="119"/>
    </row>
    <row r="85" spans="1:11" ht="15" customHeight="1">
      <c r="A85" s="114"/>
      <c r="B85" s="866">
        <v>71</v>
      </c>
      <c r="C85" s="762" t="str">
        <f t="shared" si="10"/>
        <v/>
      </c>
      <c r="D85" s="762" t="str">
        <f t="shared" si="11"/>
        <v/>
      </c>
      <c r="E85" s="762" t="str">
        <f t="shared" si="12"/>
        <v/>
      </c>
      <c r="F85" s="762" t="str">
        <f t="shared" si="13"/>
        <v/>
      </c>
      <c r="G85" s="722" t="str">
        <f t="shared" si="14"/>
        <v/>
      </c>
      <c r="K85" s="119"/>
    </row>
    <row r="86" spans="1:11" ht="15" customHeight="1">
      <c r="A86" s="114"/>
      <c r="B86" s="866">
        <v>72</v>
      </c>
      <c r="C86" s="762" t="str">
        <f t="shared" si="10"/>
        <v/>
      </c>
      <c r="D86" s="762" t="str">
        <f t="shared" si="11"/>
        <v/>
      </c>
      <c r="E86" s="762" t="str">
        <f t="shared" si="12"/>
        <v/>
      </c>
      <c r="F86" s="762" t="str">
        <f t="shared" si="13"/>
        <v/>
      </c>
      <c r="G86" s="722" t="str">
        <f t="shared" si="14"/>
        <v/>
      </c>
      <c r="K86" s="119"/>
    </row>
    <row r="87" spans="1:11" ht="15" customHeight="1">
      <c r="A87" s="114"/>
      <c r="B87" s="866">
        <v>73</v>
      </c>
      <c r="C87" s="762" t="str">
        <f t="shared" si="10"/>
        <v/>
      </c>
      <c r="D87" s="762" t="str">
        <f t="shared" si="11"/>
        <v/>
      </c>
      <c r="E87" s="762" t="str">
        <f t="shared" si="12"/>
        <v/>
      </c>
      <c r="F87" s="762" t="str">
        <f t="shared" si="13"/>
        <v/>
      </c>
      <c r="G87" s="722" t="str">
        <f t="shared" si="14"/>
        <v/>
      </c>
      <c r="K87" s="119"/>
    </row>
    <row r="88" spans="1:11" ht="15" customHeight="1">
      <c r="A88" s="114"/>
      <c r="B88" s="866">
        <v>74</v>
      </c>
      <c r="C88" s="762" t="str">
        <f t="shared" si="10"/>
        <v/>
      </c>
      <c r="D88" s="762" t="str">
        <f t="shared" si="11"/>
        <v/>
      </c>
      <c r="E88" s="762" t="str">
        <f t="shared" si="12"/>
        <v/>
      </c>
      <c r="F88" s="762" t="str">
        <f t="shared" si="13"/>
        <v/>
      </c>
      <c r="G88" s="722" t="str">
        <f t="shared" si="14"/>
        <v/>
      </c>
      <c r="K88" s="119"/>
    </row>
    <row r="89" spans="1:11" ht="15" customHeight="1">
      <c r="A89" s="114"/>
      <c r="B89" s="866">
        <v>75</v>
      </c>
      <c r="C89" s="762" t="str">
        <f t="shared" si="10"/>
        <v/>
      </c>
      <c r="D89" s="762" t="str">
        <f t="shared" si="11"/>
        <v/>
      </c>
      <c r="E89" s="762" t="str">
        <f t="shared" si="12"/>
        <v/>
      </c>
      <c r="F89" s="762" t="str">
        <f t="shared" si="13"/>
        <v/>
      </c>
      <c r="G89" s="722" t="str">
        <f t="shared" si="14"/>
        <v/>
      </c>
      <c r="K89" s="119"/>
    </row>
    <row r="90" spans="1:11" ht="15" customHeight="1">
      <c r="A90" s="114"/>
      <c r="B90" s="866">
        <v>76</v>
      </c>
      <c r="C90" s="762" t="str">
        <f t="shared" si="10"/>
        <v/>
      </c>
      <c r="D90" s="762" t="str">
        <f t="shared" si="11"/>
        <v/>
      </c>
      <c r="E90" s="762" t="str">
        <f t="shared" si="12"/>
        <v/>
      </c>
      <c r="F90" s="762" t="str">
        <f t="shared" si="13"/>
        <v/>
      </c>
      <c r="G90" s="722" t="str">
        <f t="shared" si="14"/>
        <v/>
      </c>
      <c r="K90" s="119"/>
    </row>
    <row r="91" spans="1:11" ht="15" customHeight="1">
      <c r="A91" s="114"/>
      <c r="B91" s="866">
        <v>77</v>
      </c>
      <c r="C91" s="762" t="str">
        <f t="shared" si="10"/>
        <v/>
      </c>
      <c r="D91" s="762" t="str">
        <f t="shared" si="11"/>
        <v/>
      </c>
      <c r="E91" s="762" t="str">
        <f t="shared" si="12"/>
        <v/>
      </c>
      <c r="F91" s="762" t="str">
        <f t="shared" si="13"/>
        <v/>
      </c>
      <c r="G91" s="722" t="str">
        <f t="shared" si="14"/>
        <v/>
      </c>
      <c r="K91" s="119"/>
    </row>
    <row r="92" spans="1:11" ht="15" customHeight="1">
      <c r="A92" s="114"/>
      <c r="B92" s="866">
        <v>78</v>
      </c>
      <c r="C92" s="762" t="str">
        <f t="shared" si="10"/>
        <v/>
      </c>
      <c r="D92" s="762" t="str">
        <f t="shared" si="11"/>
        <v/>
      </c>
      <c r="E92" s="762" t="str">
        <f t="shared" si="12"/>
        <v/>
      </c>
      <c r="F92" s="762" t="str">
        <f t="shared" si="13"/>
        <v/>
      </c>
      <c r="G92" s="722" t="str">
        <f t="shared" si="14"/>
        <v/>
      </c>
      <c r="K92" s="119"/>
    </row>
    <row r="93" spans="1:11" ht="15" customHeight="1">
      <c r="A93" s="114"/>
      <c r="B93" s="866">
        <v>79</v>
      </c>
      <c r="C93" s="762" t="str">
        <f t="shared" si="10"/>
        <v/>
      </c>
      <c r="D93" s="762" t="str">
        <f t="shared" si="11"/>
        <v/>
      </c>
      <c r="E93" s="762" t="str">
        <f t="shared" si="12"/>
        <v/>
      </c>
      <c r="F93" s="762" t="str">
        <f t="shared" si="13"/>
        <v/>
      </c>
      <c r="G93" s="722" t="str">
        <f t="shared" si="14"/>
        <v/>
      </c>
      <c r="K93" s="119"/>
    </row>
    <row r="94" spans="1:11" ht="15" customHeight="1">
      <c r="A94" s="114"/>
      <c r="B94" s="867">
        <v>80</v>
      </c>
      <c r="C94" s="868" t="str">
        <f t="shared" si="10"/>
        <v/>
      </c>
      <c r="D94" s="868" t="str">
        <f t="shared" si="11"/>
        <v/>
      </c>
      <c r="E94" s="868" t="str">
        <f t="shared" si="12"/>
        <v/>
      </c>
      <c r="F94" s="868" t="str">
        <f t="shared" si="13"/>
        <v/>
      </c>
      <c r="G94" s="733" t="str">
        <f t="shared" si="14"/>
        <v/>
      </c>
      <c r="K94" s="119"/>
    </row>
    <row r="95" spans="1:11" ht="15" customHeight="1">
      <c r="A95" s="114"/>
      <c r="C95" s="762"/>
      <c r="D95" s="762"/>
      <c r="E95" s="762"/>
      <c r="F95" s="762"/>
      <c r="G95" s="721"/>
      <c r="K95" s="119"/>
    </row>
    <row r="96" spans="1:11" ht="15" customHeight="1">
      <c r="A96" s="114"/>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119"/>
      <c r="L2" s="142"/>
    </row>
    <row r="3" spans="1:13" ht="18">
      <c r="A3" s="114"/>
      <c r="B3" s="42" t="str">
        <f>'Cover Sheet'!B3</f>
        <v>Monthly Investor Report</v>
      </c>
      <c r="C3" s="42"/>
      <c r="D3" s="121" t="str">
        <f>'Cover Sheet'!D3</f>
        <v>Payment Date</v>
      </c>
      <c r="E3" s="122"/>
      <c r="F3" s="123">
        <f>'Cover Sheet'!F3</f>
        <v>45852</v>
      </c>
      <c r="G3" s="122"/>
      <c r="H3" s="122"/>
      <c r="I3" s="122"/>
      <c r="J3" s="124"/>
      <c r="K3" s="119"/>
      <c r="L3" s="143"/>
    </row>
    <row r="4" spans="1:13" ht="13">
      <c r="A4" s="114"/>
      <c r="B4" s="125"/>
      <c r="C4" s="99"/>
      <c r="D4" s="121" t="str">
        <f>'Cover Sheet'!D4</f>
        <v>Period  No</v>
      </c>
      <c r="E4" s="122"/>
      <c r="F4" s="126">
        <f>'Cover Sheet'!F4</f>
        <v>8</v>
      </c>
      <c r="G4" s="122"/>
      <c r="H4" s="127"/>
      <c r="I4" s="122"/>
      <c r="J4" s="128"/>
      <c r="K4" s="119"/>
      <c r="L4" s="142"/>
    </row>
    <row r="5" spans="1:13" ht="18">
      <c r="A5" s="114"/>
      <c r="B5" s="129" t="s">
        <v>44</v>
      </c>
      <c r="C5" s="129"/>
      <c r="D5" s="121" t="str">
        <f>'Cover Sheet'!D5</f>
        <v>Monthly Period</v>
      </c>
      <c r="E5" s="122"/>
      <c r="F5" s="130">
        <f>'Cover Sheet'!F5</f>
        <v>45852</v>
      </c>
      <c r="G5" s="122"/>
      <c r="H5" s="127"/>
      <c r="I5" s="122"/>
      <c r="J5" s="128"/>
      <c r="K5" s="119"/>
      <c r="L5" s="143"/>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46"/>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46"/>
      <c r="F18" s="143" t="s">
        <v>42</v>
      </c>
      <c r="K18" s="119"/>
    </row>
    <row r="19" spans="1:11">
      <c r="A19" s="114"/>
      <c r="B19" s="18" t="s">
        <v>13</v>
      </c>
      <c r="C19" s="747">
        <f>IF(ISNUMBER('5. Outstanding Notes'!C27),D19/'5. Outstanding Notes'!C27,"")</f>
        <v>1.5472653322386364E-2</v>
      </c>
      <c r="D19" s="281">
        <f>VLOOKUP("Liquidity_Reserve_bop",calcdata,2,0)</f>
        <v>14986929.470000001</v>
      </c>
      <c r="F19" s="81"/>
      <c r="K19" s="119"/>
    </row>
    <row r="20" spans="1:11">
      <c r="A20" s="114"/>
      <c r="B20" s="18" t="s">
        <v>80</v>
      </c>
      <c r="D20" s="281">
        <f>VLOOKUP("Liquidity_Reserve_cashout",calcdata,2,0)</f>
        <v>14986929.470000001</v>
      </c>
      <c r="F20" s="81"/>
      <c r="K20" s="119"/>
    </row>
    <row r="21" spans="1:11">
      <c r="A21" s="114"/>
      <c r="B21" s="18" t="s">
        <v>376</v>
      </c>
      <c r="D21" s="748">
        <f>MAX(0,(D19-D25))</f>
        <v>457815.60000000149</v>
      </c>
      <c r="F21" s="81"/>
      <c r="K21" s="119"/>
    </row>
    <row r="22" spans="1:11">
      <c r="A22" s="114"/>
      <c r="D22" s="748"/>
      <c r="F22" s="81"/>
      <c r="K22" s="119"/>
    </row>
    <row r="23" spans="1:11">
      <c r="A23" s="114"/>
      <c r="B23" s="18" t="s">
        <v>81</v>
      </c>
      <c r="D23" s="748">
        <f>VLOOKUP("Liquidity_Reserve_cashin",calcdata,2,0)</f>
        <v>14529113.8737</v>
      </c>
      <c r="F23" s="81"/>
      <c r="K23" s="119"/>
    </row>
    <row r="24" spans="1:11">
      <c r="A24" s="114"/>
      <c r="B24" s="18" t="s">
        <v>14</v>
      </c>
      <c r="C24" s="747">
        <f>IF(ISNUMBER(D24),D24/'5. Outstanding Notes'!C33,"")</f>
        <v>1.5443805010059498E-2</v>
      </c>
      <c r="D24" s="748">
        <f>VLOOKUP("Liquidity_Reserve_eop",calcdata,2,0)</f>
        <v>14529113.8737</v>
      </c>
      <c r="F24" s="81"/>
      <c r="K24" s="119"/>
    </row>
    <row r="25" spans="1:11">
      <c r="A25" s="114"/>
      <c r="B25" s="18" t="s">
        <v>308</v>
      </c>
      <c r="C25" s="747">
        <f>IF(ISNUMBER(D25),D25/'5. Outstanding Notes'!C33,"")</f>
        <v>1.5443805006126561E-2</v>
      </c>
      <c r="D25" s="748">
        <f>VLOOKUP("Liquidity_Reserve_fund",calcdata,2,0)</f>
        <v>14529113.869999999</v>
      </c>
      <c r="F25" s="81"/>
      <c r="K25" s="119"/>
    </row>
    <row r="26" spans="1:11">
      <c r="A26" s="114"/>
      <c r="D26" s="50"/>
      <c r="F26" s="81"/>
      <c r="K26" s="119"/>
    </row>
    <row r="27" spans="1:11" ht="13">
      <c r="A27" s="114"/>
      <c r="B27" s="32" t="s">
        <v>10</v>
      </c>
      <c r="C27" s="144" t="s">
        <v>8</v>
      </c>
      <c r="D27" s="746"/>
      <c r="F27" s="797" t="str">
        <f>VLOOKUP("Com_Reserve_Trigger",calcdata,4,0)</f>
        <v>no</v>
      </c>
      <c r="K27" s="119"/>
    </row>
    <row r="28" spans="1:11">
      <c r="A28" s="114"/>
      <c r="B28" s="18" t="s">
        <v>13</v>
      </c>
      <c r="C28" s="700" t="str">
        <f>IF(AND(ISNUMBER('5. Outstanding Notes'!C27),ISNUMBER(D28)),D28/'5. Outstanding Notes'!C27,"")</f>
        <v/>
      </c>
      <c r="D28" s="748" t="str">
        <f>VLOOKUP("Com_Reserve_bop",calcdata,4,0)</f>
        <v>n/a</v>
      </c>
      <c r="F28" s="81"/>
      <c r="K28" s="119"/>
    </row>
    <row r="29" spans="1:11">
      <c r="A29" s="114"/>
      <c r="B29" s="18" t="s">
        <v>80</v>
      </c>
      <c r="C29" s="700"/>
      <c r="D29" s="748" t="str">
        <f>VLOOKUP("Com_Reserve_cashout",calcdata,4,0)</f>
        <v>n/a</v>
      </c>
      <c r="F29" s="81"/>
      <c r="K29" s="119"/>
    </row>
    <row r="30" spans="1:11">
      <c r="A30" s="114"/>
      <c r="B30" s="18" t="s">
        <v>310</v>
      </c>
      <c r="C30" s="700"/>
      <c r="D30" s="748"/>
      <c r="F30" s="81"/>
      <c r="K30" s="119"/>
    </row>
    <row r="31" spans="1:11">
      <c r="A31" s="114"/>
      <c r="B31" s="18" t="s">
        <v>348</v>
      </c>
      <c r="C31" s="700"/>
      <c r="D31" s="748"/>
      <c r="F31" s="81"/>
      <c r="K31" s="119"/>
    </row>
    <row r="32" spans="1:11">
      <c r="A32" s="114"/>
      <c r="B32" s="18" t="s">
        <v>81</v>
      </c>
      <c r="C32" s="700"/>
      <c r="D32" s="748" t="str">
        <f>VLOOKUP("Com_Reserve_cashin",calcdata,4,0)</f>
        <v>n/a</v>
      </c>
      <c r="F32" s="81"/>
      <c r="K32" s="119"/>
    </row>
    <row r="33" spans="1:11">
      <c r="A33" s="114"/>
      <c r="B33" s="18" t="s">
        <v>14</v>
      </c>
      <c r="C33" s="700" t="str">
        <f>IF(AND(ISNUMBER('5. Outstanding Notes'!C33),ISNUMBER(D33)),D33/'5. Outstanding Notes'!C33,"")</f>
        <v/>
      </c>
      <c r="D33" s="748" t="str">
        <f>VLOOKUP("Com_Reserve_eop",calcdata,4,0)</f>
        <v>n/a</v>
      </c>
      <c r="F33" s="81"/>
      <c r="K33" s="119"/>
    </row>
    <row r="34" spans="1:11">
      <c r="A34" s="114"/>
      <c r="B34" s="18" t="s">
        <v>309</v>
      </c>
      <c r="C34" s="700"/>
      <c r="D34" s="748">
        <f>VLOOKUP("Com_Reserve_required",calcdata,2,0)</f>
        <v>0</v>
      </c>
      <c r="F34" s="81"/>
      <c r="K34" s="119"/>
    </row>
    <row r="35" spans="1:11">
      <c r="A35" s="114"/>
      <c r="B35" s="149"/>
      <c r="D35" s="110"/>
      <c r="F35" s="81"/>
      <c r="K35" s="119"/>
    </row>
    <row r="36" spans="1:11" ht="13">
      <c r="A36" s="114"/>
      <c r="B36" s="32" t="s">
        <v>168</v>
      </c>
      <c r="C36" s="144" t="s">
        <v>8</v>
      </c>
      <c r="D36" s="50"/>
      <c r="F36" s="797" t="str">
        <f>VLOOKUP("Setoff_Reserve_Trigger",calcdata,4,0)</f>
        <v>no</v>
      </c>
      <c r="K36" s="119"/>
    </row>
    <row r="37" spans="1:11">
      <c r="A37" s="114"/>
      <c r="B37" s="18" t="s">
        <v>13</v>
      </c>
      <c r="C37" s="700" t="str">
        <f>IF(AND(ISNUMBER('5. Outstanding Notes'!C27),ISNUMBER(D37)),D37/'5. Outstanding Notes'!C27,"")</f>
        <v/>
      </c>
      <c r="D37" s="748" t="str">
        <f>VLOOKUP("Setoff_Reserve_bop",calcdata,4,0)</f>
        <v>n/a</v>
      </c>
      <c r="F37" s="749"/>
      <c r="K37" s="119"/>
    </row>
    <row r="38" spans="1:11">
      <c r="A38" s="114"/>
      <c r="B38" s="18" t="s">
        <v>80</v>
      </c>
      <c r="D38" s="748" t="str">
        <f>VLOOKUP("Setoff_Reserve_cashout",calcdata,4,0)</f>
        <v>n/a</v>
      </c>
      <c r="F38" s="146"/>
      <c r="K38" s="119"/>
    </row>
    <row r="39" spans="1:11">
      <c r="A39" s="114"/>
      <c r="B39" s="18" t="s">
        <v>346</v>
      </c>
      <c r="D39" s="748"/>
      <c r="F39" s="146"/>
      <c r="K39" s="119"/>
    </row>
    <row r="40" spans="1:11">
      <c r="A40" s="114"/>
      <c r="B40" s="18" t="s">
        <v>347</v>
      </c>
      <c r="D40" s="748"/>
      <c r="F40" s="146"/>
      <c r="K40" s="119"/>
    </row>
    <row r="41" spans="1:11">
      <c r="A41" s="114"/>
      <c r="B41" s="18" t="s">
        <v>81</v>
      </c>
      <c r="D41" s="748" t="str">
        <f>VLOOKUP("Setoff_Reserve_cashin",calcdata,4,0)</f>
        <v>n/a</v>
      </c>
      <c r="F41" s="146"/>
      <c r="K41" s="119"/>
    </row>
    <row r="42" spans="1:11">
      <c r="A42" s="114"/>
      <c r="B42" s="18" t="s">
        <v>14</v>
      </c>
      <c r="C42" s="700" t="str">
        <f>IF(AND(ISNUMBER('5. Outstanding Notes'!C33),ISNUMBER(D42)),D42/'5. Outstanding Notes'!C33,"")</f>
        <v/>
      </c>
      <c r="D42" s="748" t="str">
        <f>VLOOKUP("Setoff_Reserve_eop",calcdata,4,0)</f>
        <v>n/a</v>
      </c>
      <c r="F42" s="146"/>
      <c r="K42" s="119"/>
    </row>
    <row r="43" spans="1:11">
      <c r="A43" s="114"/>
      <c r="B43" s="18" t="s">
        <v>389</v>
      </c>
      <c r="C43" s="700"/>
      <c r="D43" s="748">
        <f>VLOOKUP("Setoff_Reserve_required",calcdata,2,0)</f>
        <v>0</v>
      </c>
      <c r="F43" s="146"/>
      <c r="K43" s="119"/>
    </row>
    <row r="44" spans="1:11">
      <c r="A44" s="114"/>
      <c r="D44" s="50"/>
      <c r="F44" s="146"/>
      <c r="K44" s="119"/>
    </row>
    <row r="45" spans="1:11">
      <c r="A45" s="114"/>
      <c r="B45" s="18" t="s">
        <v>400</v>
      </c>
      <c r="D45" s="748"/>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45848</v>
      </c>
      <c r="G2" s="228"/>
      <c r="H2" s="228"/>
      <c r="I2" s="228"/>
      <c r="J2" s="228"/>
      <c r="K2" s="228"/>
      <c r="L2" s="230"/>
      <c r="M2" s="94"/>
    </row>
    <row r="3" spans="1:13" ht="18">
      <c r="A3" s="225"/>
      <c r="B3" s="226" t="str">
        <f>'Cover Sheet'!B3</f>
        <v>Monthly Investor Report</v>
      </c>
      <c r="C3" s="226"/>
      <c r="D3" s="232" t="str">
        <f>'Cover Sheet'!D3</f>
        <v>Payment Date</v>
      </c>
      <c r="E3" s="233"/>
      <c r="F3" s="234">
        <f>'Cover Sheet'!F3</f>
        <v>45852</v>
      </c>
      <c r="G3" s="233"/>
      <c r="H3" s="233"/>
      <c r="I3" s="233"/>
      <c r="J3" s="233"/>
      <c r="K3" s="233"/>
      <c r="L3" s="235"/>
      <c r="M3" s="94"/>
    </row>
    <row r="4" spans="1:13">
      <c r="A4" s="225"/>
      <c r="B4" s="734"/>
      <c r="C4" s="109"/>
      <c r="D4" s="232" t="str">
        <f>'Cover Sheet'!D4</f>
        <v>Period  No</v>
      </c>
      <c r="E4" s="233"/>
      <c r="F4" s="237">
        <f>'Cover Sheet'!F4</f>
        <v>8</v>
      </c>
      <c r="G4" s="233"/>
      <c r="H4" s="238"/>
      <c r="I4" s="233"/>
      <c r="J4" s="243"/>
      <c r="K4" s="233"/>
      <c r="L4" s="239"/>
      <c r="M4" s="94"/>
    </row>
    <row r="5" spans="1:13" ht="18">
      <c r="A5" s="225"/>
      <c r="B5" s="240" t="s">
        <v>229</v>
      </c>
      <c r="C5" s="240"/>
      <c r="D5" s="232" t="str">
        <f>'Cover Sheet'!D5</f>
        <v>Monthly Period</v>
      </c>
      <c r="E5" s="233"/>
      <c r="F5" s="130">
        <f>'Cover Sheet'!F5</f>
        <v>45852</v>
      </c>
      <c r="G5" s="233"/>
      <c r="H5" s="238"/>
      <c r="I5" s="233"/>
      <c r="J5" s="243"/>
      <c r="K5" s="233"/>
      <c r="L5" s="239"/>
      <c r="M5" s="94"/>
    </row>
    <row r="6" spans="1:13" ht="15" customHeight="1">
      <c r="A6" s="225"/>
      <c r="B6" s="241"/>
      <c r="C6" s="236"/>
      <c r="D6" s="232" t="str">
        <f>'Cover Sheet'!D6</f>
        <v>Interest Period</v>
      </c>
      <c r="E6" s="243" t="str">
        <f>'Cover Sheet'!E6</f>
        <v>from</v>
      </c>
      <c r="F6" s="234">
        <f>'Cover Sheet'!F6</f>
        <v>45824</v>
      </c>
      <c r="G6" s="243" t="str">
        <f>'Cover Sheet'!G6</f>
        <v>to</v>
      </c>
      <c r="H6" s="234">
        <f>'Cover Sheet'!H6</f>
        <v>45852</v>
      </c>
      <c r="I6" s="243" t="str">
        <f>'Cover Sheet'!I6</f>
        <v>=</v>
      </c>
      <c r="J6" s="709" t="str">
        <f>'Cover Sheet'!J6</f>
        <v>28 days</v>
      </c>
      <c r="K6" s="243"/>
      <c r="L6" s="327"/>
      <c r="M6" s="295"/>
    </row>
    <row r="7" spans="1:13">
      <c r="A7" s="225"/>
      <c r="D7" s="602" t="str">
        <f>'Cover Sheet'!D7</f>
        <v>Collection Period</v>
      </c>
      <c r="E7" s="603" t="str">
        <f>'Cover Sheet'!E7</f>
        <v>from</v>
      </c>
      <c r="F7" s="247" t="str">
        <f>'Cover Sheet'!F7</f>
        <v>01.06.2025</v>
      </c>
      <c r="G7" s="603" t="str">
        <f>'Cover Sheet'!G7</f>
        <v>to</v>
      </c>
      <c r="H7" s="247">
        <f>'Cover Sheet'!H7</f>
        <v>45838</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23" ht="18">
      <c r="A17" s="225"/>
      <c r="B17" s="226" t="s">
        <v>171</v>
      </c>
      <c r="C17" s="713"/>
      <c r="D17" s="713"/>
      <c r="E17" s="713"/>
      <c r="F17" s="701"/>
      <c r="G17" s="701"/>
      <c r="H17" s="743"/>
      <c r="J17" s="713"/>
      <c r="L17" s="713"/>
      <c r="M17" s="94"/>
    </row>
    <row r="18" spans="1:23" ht="18">
      <c r="A18" s="225"/>
      <c r="B18" s="226"/>
      <c r="C18" s="713"/>
      <c r="D18" s="713"/>
      <c r="E18" s="713"/>
      <c r="F18" s="701"/>
      <c r="G18" s="701"/>
      <c r="H18" s="713"/>
      <c r="J18" s="713"/>
      <c r="M18" s="94"/>
    </row>
    <row r="19" spans="1:23" ht="13.5" thickBot="1">
      <c r="A19" s="225"/>
      <c r="B19" s="683"/>
      <c r="K19" s="639"/>
      <c r="L19" s="696"/>
      <c r="M19" s="94"/>
    </row>
    <row r="20" spans="1:23" ht="15" thickBot="1">
      <c r="A20" s="225"/>
      <c r="B20" s="877" t="s">
        <v>111</v>
      </c>
      <c r="C20" s="877" t="s">
        <v>390</v>
      </c>
      <c r="D20" s="883" t="s">
        <v>238</v>
      </c>
      <c r="E20" s="884"/>
      <c r="F20" s="884"/>
      <c r="G20" s="885"/>
      <c r="H20" s="877" t="s">
        <v>239</v>
      </c>
      <c r="I20" s="883" t="s">
        <v>238</v>
      </c>
      <c r="J20" s="884"/>
      <c r="K20" s="884"/>
      <c r="L20" s="886"/>
      <c r="M20" s="251"/>
      <c r="O20" s="716"/>
      <c r="Q20" s="717"/>
      <c r="R20" s="718"/>
      <c r="S20" s="718"/>
      <c r="V20" s="639"/>
      <c r="W20" s="719"/>
    </row>
    <row r="21" spans="1:23" ht="15" thickBot="1">
      <c r="A21" s="225"/>
      <c r="B21" s="882"/>
      <c r="C21" s="878"/>
      <c r="D21" s="794" t="s">
        <v>240</v>
      </c>
      <c r="E21" s="793" t="s">
        <v>241</v>
      </c>
      <c r="F21" s="793" t="s">
        <v>242</v>
      </c>
      <c r="G21" s="714" t="s">
        <v>243</v>
      </c>
      <c r="H21" s="878"/>
      <c r="I21" s="793" t="s">
        <v>240</v>
      </c>
      <c r="J21" s="793" t="s">
        <v>241</v>
      </c>
      <c r="K21" s="793" t="s">
        <v>242</v>
      </c>
      <c r="L21" s="715" t="s">
        <v>243</v>
      </c>
      <c r="M21" s="94"/>
      <c r="Q21" s="717"/>
      <c r="R21" s="718"/>
      <c r="S21" s="717"/>
      <c r="U21" s="109"/>
    </row>
    <row r="22" spans="1:23" ht="13">
      <c r="A22" s="225"/>
      <c r="B22" s="744">
        <v>1</v>
      </c>
      <c r="C22" s="764">
        <f t="shared" ref="C22:C53" si="0">IF($F$4&gt;=$B22,VLOOKUP(CONCATENATE("delinquency_",$B22),delinquencies,2,0),"")</f>
        <v>999999989.32000005</v>
      </c>
      <c r="D22" s="762">
        <f t="shared" ref="D22:D53" si="1">IF($F$4&gt;=$B22,VLOOKUP(CONCATENATE("delinquency_",$B22),delinquencies,3,0),"")</f>
        <v>0</v>
      </c>
      <c r="E22" s="762">
        <f t="shared" ref="E22:E53" si="2">IF($F$4&gt;=$B22,VLOOKUP(CONCATENATE("delinquency_",$B22),delinquencies,4,0),"")</f>
        <v>0</v>
      </c>
      <c r="F22" s="762">
        <f t="shared" ref="F22:F53" si="3">IF($F$4&gt;=$B22,VLOOKUP(CONCATENATE("delinquency_",$B22),delinquencies,5,0),"")</f>
        <v>0</v>
      </c>
      <c r="G22" s="762">
        <f t="shared" ref="G22:G53" si="4">IF($F$4&gt;=$B22,VLOOKUP(CONCATENATE("delinquency_",$B22),delinquencies,6,0),"")</f>
        <v>0</v>
      </c>
      <c r="H22" s="445">
        <f>IF(B22&lt;=$F$4,(C22-D22-E22-F22-G22)/C22,"")</f>
        <v>1</v>
      </c>
      <c r="I22" s="211">
        <f>IF($B22&lt;=$F$4,D22/$C22,"")</f>
        <v>0</v>
      </c>
      <c r="J22" s="211">
        <f t="shared" ref="J22:L22" si="5">IF($B22&lt;=$F$4,E22/$C22,"")</f>
        <v>0</v>
      </c>
      <c r="K22" s="211">
        <f t="shared" si="5"/>
        <v>0</v>
      </c>
      <c r="L22" s="745">
        <f t="shared" si="5"/>
        <v>0</v>
      </c>
      <c r="M22" s="94"/>
      <c r="Q22" s="717"/>
      <c r="R22" s="718"/>
      <c r="S22" s="717"/>
      <c r="U22" s="109"/>
    </row>
    <row r="23" spans="1:23" ht="13">
      <c r="A23" s="225"/>
      <c r="B23" s="370">
        <v>2</v>
      </c>
      <c r="C23" s="764">
        <f t="shared" si="0"/>
        <v>999999873.58000004</v>
      </c>
      <c r="D23" s="762">
        <f t="shared" si="1"/>
        <v>2602877.79</v>
      </c>
      <c r="E23" s="762">
        <f t="shared" si="2"/>
        <v>1981111.32</v>
      </c>
      <c r="F23" s="762">
        <f t="shared" si="3"/>
        <v>69680.710000000006</v>
      </c>
      <c r="G23" s="762">
        <f t="shared" si="4"/>
        <v>0</v>
      </c>
      <c r="H23" s="445">
        <f t="shared" ref="H23:H24" si="6">IF(B23&lt;=$F$4,(C23-D23-E23-F23-G23)/C23,"")</f>
        <v>0.9953463295916829</v>
      </c>
      <c r="I23" s="211">
        <f t="shared" ref="I23:I24" si="7">IF($B23&lt;=$F$4,D23/$C23,"")</f>
        <v>2.6028781190558519E-3</v>
      </c>
      <c r="J23" s="211">
        <f t="shared" ref="J23:J24" si="8">IF($B23&lt;=$F$4,E23/$C23,"")</f>
        <v>1.9811115704521246E-3</v>
      </c>
      <c r="K23" s="211">
        <f t="shared" ref="K23:K24" si="9">IF($B23&lt;=$F$4,F23/$C23,"")</f>
        <v>6.9680718809036473E-5</v>
      </c>
      <c r="L23" s="745">
        <f t="shared" ref="L23:L24" si="10">IF($B23&lt;=$F$4,G23/$C23,"")</f>
        <v>0</v>
      </c>
      <c r="M23" s="94"/>
      <c r="O23" s="723"/>
      <c r="Q23" s="717"/>
      <c r="R23" s="718"/>
      <c r="S23" s="718"/>
    </row>
    <row r="24" spans="1:23" ht="13">
      <c r="A24" s="225"/>
      <c r="B24" s="370">
        <v>3</v>
      </c>
      <c r="C24" s="764">
        <f t="shared" si="0"/>
        <v>999999923.61000001</v>
      </c>
      <c r="D24" s="762">
        <f t="shared" si="1"/>
        <v>1860702.91</v>
      </c>
      <c r="E24" s="762">
        <f t="shared" si="2"/>
        <v>3729556.59</v>
      </c>
      <c r="F24" s="762">
        <f t="shared" si="3"/>
        <v>560672.38</v>
      </c>
      <c r="G24" s="762">
        <f t="shared" si="4"/>
        <v>1150868.78</v>
      </c>
      <c r="H24" s="445">
        <f t="shared" si="6"/>
        <v>0.99269819878221544</v>
      </c>
      <c r="I24" s="211">
        <f t="shared" si="7"/>
        <v>1.860703052139106E-3</v>
      </c>
      <c r="J24" s="211">
        <f t="shared" si="8"/>
        <v>3.7295568749008494E-3</v>
      </c>
      <c r="K24" s="211">
        <f t="shared" si="9"/>
        <v>5.6067242282976633E-4</v>
      </c>
      <c r="L24" s="745">
        <f t="shared" si="10"/>
        <v>1.1508688679148728E-3</v>
      </c>
      <c r="M24" s="724"/>
      <c r="Q24" s="717"/>
      <c r="R24" s="725"/>
      <c r="S24" s="725"/>
      <c r="V24" s="639"/>
      <c r="W24" s="696"/>
    </row>
    <row r="25" spans="1:23" ht="13">
      <c r="A25" s="225"/>
      <c r="B25" s="370">
        <v>4</v>
      </c>
      <c r="C25" s="764">
        <f t="shared" si="0"/>
        <v>999999964.76999998</v>
      </c>
      <c r="D25" s="762">
        <f t="shared" si="1"/>
        <v>600601.19999999995</v>
      </c>
      <c r="E25" s="762">
        <f t="shared" si="2"/>
        <v>3071631.46</v>
      </c>
      <c r="F25" s="762">
        <f t="shared" si="3"/>
        <v>2792725.54</v>
      </c>
      <c r="G25" s="762">
        <f t="shared" si="4"/>
        <v>4052103</v>
      </c>
      <c r="H25" s="445">
        <f t="shared" ref="H25:H88" si="11">IF(B25&lt;=$F$4,(C25-D25-E25-F25-G25)/C25,"")</f>
        <v>0.98948293842948387</v>
      </c>
      <c r="I25" s="211">
        <f t="shared" ref="I25:I88" si="12">IF($B25&lt;=$F$4,D25/$C25,"")</f>
        <v>6.0060122115918101E-4</v>
      </c>
      <c r="J25" s="211">
        <f t="shared" ref="J25:J88" si="13">IF($B25&lt;=$F$4,E25/$C25,"")</f>
        <v>3.0716315682135804E-3</v>
      </c>
      <c r="K25" s="211">
        <f t="shared" ref="K25:K88" si="14">IF($B25&lt;=$F$4,F25/$C25,"")</f>
        <v>2.7927256383877244E-3</v>
      </c>
      <c r="L25" s="745">
        <f t="shared" ref="L25:L88" si="15">IF($B25&lt;=$F$4,G25/$C25,"")</f>
        <v>4.0521031427555934E-3</v>
      </c>
      <c r="M25" s="251"/>
      <c r="N25" s="21"/>
      <c r="O25" s="696"/>
      <c r="P25" s="21"/>
      <c r="Q25" s="726"/>
      <c r="R25" s="727"/>
      <c r="S25" s="725"/>
      <c r="T25" s="21"/>
      <c r="V25" s="639"/>
      <c r="W25" s="719"/>
    </row>
    <row r="26" spans="1:23" ht="13">
      <c r="A26" s="225"/>
      <c r="B26" s="370">
        <v>5</v>
      </c>
      <c r="C26" s="764">
        <f t="shared" si="0"/>
        <v>999999957.50999999</v>
      </c>
      <c r="D26" s="762">
        <f t="shared" si="1"/>
        <v>3709843.78</v>
      </c>
      <c r="E26" s="762">
        <f t="shared" si="2"/>
        <v>4283469.93</v>
      </c>
      <c r="F26" s="762">
        <f t="shared" si="3"/>
        <v>2694285.01</v>
      </c>
      <c r="G26" s="762">
        <f t="shared" si="4"/>
        <v>3380768.06</v>
      </c>
      <c r="H26" s="445">
        <f t="shared" si="11"/>
        <v>0.98593163262223527</v>
      </c>
      <c r="I26" s="211">
        <f t="shared" si="12"/>
        <v>3.7098439376312686E-3</v>
      </c>
      <c r="J26" s="211">
        <f t="shared" si="13"/>
        <v>4.2834701120046444E-3</v>
      </c>
      <c r="K26" s="211">
        <f t="shared" si="14"/>
        <v>2.6942851244801747E-3</v>
      </c>
      <c r="L26" s="745">
        <f t="shared" si="15"/>
        <v>3.380768203648841E-3</v>
      </c>
      <c r="M26" s="94"/>
      <c r="Q26" s="717"/>
      <c r="R26" s="718"/>
      <c r="S26" s="717"/>
      <c r="U26" s="109"/>
    </row>
    <row r="27" spans="1:23" ht="13">
      <c r="A27" s="225"/>
      <c r="B27" s="370">
        <v>6</v>
      </c>
      <c r="C27" s="764">
        <f t="shared" si="0"/>
        <v>999999996.48000002</v>
      </c>
      <c r="D27" s="762">
        <f t="shared" si="1"/>
        <v>905794.68</v>
      </c>
      <c r="E27" s="762">
        <f t="shared" si="2"/>
        <v>5476192.3899999997</v>
      </c>
      <c r="F27" s="762">
        <f t="shared" si="3"/>
        <v>3261458.58</v>
      </c>
      <c r="G27" s="762">
        <f t="shared" si="4"/>
        <v>3767479.25</v>
      </c>
      <c r="H27" s="445">
        <f t="shared" si="11"/>
        <v>0.98658907505279358</v>
      </c>
      <c r="I27" s="211">
        <f t="shared" si="12"/>
        <v>9.0579468318839737E-4</v>
      </c>
      <c r="J27" s="211">
        <f t="shared" si="13"/>
        <v>5.4761924092761967E-3</v>
      </c>
      <c r="K27" s="211">
        <f t="shared" si="14"/>
        <v>3.2614585914803344E-3</v>
      </c>
      <c r="L27" s="745">
        <f t="shared" si="15"/>
        <v>3.767479263261527E-3</v>
      </c>
      <c r="M27" s="94"/>
      <c r="Q27" s="717"/>
      <c r="R27" s="718"/>
      <c r="S27" s="717"/>
      <c r="U27" s="109"/>
    </row>
    <row r="28" spans="1:23" ht="13">
      <c r="A28" s="225"/>
      <c r="B28" s="370">
        <v>7</v>
      </c>
      <c r="C28" s="764">
        <f t="shared" si="0"/>
        <v>999999978.38</v>
      </c>
      <c r="D28" s="762">
        <f t="shared" si="1"/>
        <v>3893409.95</v>
      </c>
      <c r="E28" s="762">
        <f t="shared" si="2"/>
        <v>1173069.83</v>
      </c>
      <c r="F28" s="762">
        <f t="shared" si="3"/>
        <v>5723072.1699999999</v>
      </c>
      <c r="G28" s="762">
        <f t="shared" si="4"/>
        <v>3991953.71</v>
      </c>
      <c r="H28" s="445">
        <f t="shared" si="11"/>
        <v>0.98521849402042372</v>
      </c>
      <c r="I28" s="211">
        <f t="shared" si="12"/>
        <v>3.8934100341755252E-3</v>
      </c>
      <c r="J28" s="211">
        <f t="shared" si="13"/>
        <v>1.1730698553617705E-3</v>
      </c>
      <c r="K28" s="211">
        <f t="shared" si="14"/>
        <v>5.7230722937328228E-3</v>
      </c>
      <c r="L28" s="745">
        <f t="shared" si="15"/>
        <v>3.9919537963060414E-3</v>
      </c>
      <c r="M28" s="94"/>
      <c r="O28" s="723"/>
      <c r="Q28" s="717"/>
      <c r="R28" s="725"/>
      <c r="S28" s="725"/>
    </row>
    <row r="29" spans="1:23" ht="13">
      <c r="A29" s="225"/>
      <c r="B29" s="370">
        <v>8</v>
      </c>
      <c r="C29" s="764">
        <f t="shared" si="0"/>
        <v>971524220.40999997</v>
      </c>
      <c r="D29" s="762">
        <f t="shared" si="1"/>
        <v>3465637.65</v>
      </c>
      <c r="E29" s="762">
        <f t="shared" si="2"/>
        <v>4138208.3</v>
      </c>
      <c r="F29" s="762">
        <f t="shared" si="3"/>
        <v>820884.07</v>
      </c>
      <c r="G29" s="762">
        <f t="shared" si="4"/>
        <v>6190801.5899999999</v>
      </c>
      <c r="H29" s="445">
        <f t="shared" si="11"/>
        <v>0.98495608107039057</v>
      </c>
      <c r="I29" s="211">
        <f t="shared" si="12"/>
        <v>3.5672169331377461E-3</v>
      </c>
      <c r="J29" s="211">
        <f t="shared" si="13"/>
        <v>4.2595009090494983E-3</v>
      </c>
      <c r="K29" s="211">
        <f t="shared" si="14"/>
        <v>8.4494452403211602E-4</v>
      </c>
      <c r="L29" s="745">
        <f t="shared" si="15"/>
        <v>6.3722565633900254E-3</v>
      </c>
      <c r="M29" s="94"/>
      <c r="Q29" s="717"/>
      <c r="R29" s="725"/>
      <c r="S29" s="725"/>
    </row>
    <row r="30" spans="1:23" ht="13">
      <c r="A30" s="225"/>
      <c r="B30" s="370">
        <v>9</v>
      </c>
      <c r="C30" s="764" t="str">
        <f t="shared" si="0"/>
        <v/>
      </c>
      <c r="D30" s="762" t="str">
        <f t="shared" si="1"/>
        <v/>
      </c>
      <c r="E30" s="762" t="str">
        <f t="shared" si="2"/>
        <v/>
      </c>
      <c r="F30" s="762" t="str">
        <f t="shared" si="3"/>
        <v/>
      </c>
      <c r="G30" s="762" t="str">
        <f t="shared" si="4"/>
        <v/>
      </c>
      <c r="H30" s="445" t="str">
        <f t="shared" si="11"/>
        <v/>
      </c>
      <c r="I30" s="211" t="str">
        <f t="shared" si="12"/>
        <v/>
      </c>
      <c r="J30" s="211" t="str">
        <f t="shared" si="13"/>
        <v/>
      </c>
      <c r="K30" s="211" t="str">
        <f t="shared" si="14"/>
        <v/>
      </c>
      <c r="L30" s="745" t="str">
        <f t="shared" si="15"/>
        <v/>
      </c>
      <c r="M30" s="251"/>
      <c r="N30" s="21"/>
      <c r="O30" s="696"/>
      <c r="P30" s="21"/>
      <c r="Q30" s="728"/>
      <c r="R30" s="727"/>
      <c r="S30" s="725"/>
      <c r="T30" s="21"/>
      <c r="U30" s="696"/>
    </row>
    <row r="31" spans="1:23" ht="13">
      <c r="A31" s="225"/>
      <c r="B31" s="370">
        <v>10</v>
      </c>
      <c r="C31" s="764" t="str">
        <f t="shared" si="0"/>
        <v/>
      </c>
      <c r="D31" s="762" t="str">
        <f t="shared" si="1"/>
        <v/>
      </c>
      <c r="E31" s="762" t="str">
        <f t="shared" si="2"/>
        <v/>
      </c>
      <c r="F31" s="762" t="str">
        <f t="shared" si="3"/>
        <v/>
      </c>
      <c r="G31" s="762" t="str">
        <f t="shared" si="4"/>
        <v/>
      </c>
      <c r="H31" s="445" t="str">
        <f t="shared" si="11"/>
        <v/>
      </c>
      <c r="I31" s="211" t="str">
        <f t="shared" si="12"/>
        <v/>
      </c>
      <c r="J31" s="211" t="str">
        <f t="shared" si="13"/>
        <v/>
      </c>
      <c r="K31" s="211" t="str">
        <f t="shared" si="14"/>
        <v/>
      </c>
      <c r="L31" s="745" t="str">
        <f t="shared" si="15"/>
        <v/>
      </c>
      <c r="M31" s="94"/>
      <c r="Q31" s="717"/>
      <c r="R31" s="718"/>
      <c r="S31" s="717"/>
      <c r="U31" s="109"/>
    </row>
    <row r="32" spans="1:23" ht="13">
      <c r="A32" s="225"/>
      <c r="B32" s="370">
        <v>11</v>
      </c>
      <c r="C32" s="764" t="str">
        <f t="shared" si="0"/>
        <v/>
      </c>
      <c r="D32" s="762" t="str">
        <f t="shared" si="1"/>
        <v/>
      </c>
      <c r="E32" s="762" t="str">
        <f t="shared" si="2"/>
        <v/>
      </c>
      <c r="F32" s="762" t="str">
        <f t="shared" si="3"/>
        <v/>
      </c>
      <c r="G32" s="762" t="str">
        <f t="shared" si="4"/>
        <v/>
      </c>
      <c r="H32" s="445" t="str">
        <f t="shared" si="11"/>
        <v/>
      </c>
      <c r="I32" s="211" t="str">
        <f t="shared" si="12"/>
        <v/>
      </c>
      <c r="J32" s="211" t="str">
        <f t="shared" si="13"/>
        <v/>
      </c>
      <c r="K32" s="211" t="str">
        <f t="shared" si="14"/>
        <v/>
      </c>
      <c r="L32" s="745" t="str">
        <f t="shared" si="15"/>
        <v/>
      </c>
      <c r="M32" s="94"/>
      <c r="Q32" s="717"/>
      <c r="R32" s="718"/>
      <c r="S32" s="717"/>
      <c r="U32" s="109"/>
    </row>
    <row r="33" spans="1:23" ht="13">
      <c r="A33" s="225"/>
      <c r="B33" s="370">
        <v>12</v>
      </c>
      <c r="C33" s="764" t="str">
        <f t="shared" si="0"/>
        <v/>
      </c>
      <c r="D33" s="762" t="str">
        <f t="shared" si="1"/>
        <v/>
      </c>
      <c r="E33" s="762" t="str">
        <f t="shared" si="2"/>
        <v/>
      </c>
      <c r="F33" s="762" t="str">
        <f t="shared" si="3"/>
        <v/>
      </c>
      <c r="G33" s="762" t="str">
        <f t="shared" si="4"/>
        <v/>
      </c>
      <c r="H33" s="445" t="str">
        <f t="shared" si="11"/>
        <v/>
      </c>
      <c r="I33" s="211" t="str">
        <f t="shared" si="12"/>
        <v/>
      </c>
      <c r="J33" s="211" t="str">
        <f t="shared" si="13"/>
        <v/>
      </c>
      <c r="K33" s="211" t="str">
        <f t="shared" si="14"/>
        <v/>
      </c>
      <c r="L33" s="745" t="str">
        <f t="shared" si="15"/>
        <v/>
      </c>
      <c r="M33" s="94"/>
      <c r="O33" s="723"/>
      <c r="Q33" s="717"/>
      <c r="R33" s="725"/>
      <c r="S33" s="725"/>
    </row>
    <row r="34" spans="1:23" ht="13">
      <c r="A34" s="225"/>
      <c r="B34" s="370">
        <v>13</v>
      </c>
      <c r="C34" s="764" t="str">
        <f t="shared" si="0"/>
        <v/>
      </c>
      <c r="D34" s="762" t="str">
        <f t="shared" si="1"/>
        <v/>
      </c>
      <c r="E34" s="762" t="str">
        <f t="shared" si="2"/>
        <v/>
      </c>
      <c r="F34" s="762" t="str">
        <f t="shared" si="3"/>
        <v/>
      </c>
      <c r="G34" s="762" t="str">
        <f t="shared" si="4"/>
        <v/>
      </c>
      <c r="H34" s="445" t="str">
        <f t="shared" si="11"/>
        <v/>
      </c>
      <c r="I34" s="211" t="str">
        <f t="shared" si="12"/>
        <v/>
      </c>
      <c r="J34" s="211" t="str">
        <f t="shared" si="13"/>
        <v/>
      </c>
      <c r="K34" s="211" t="str">
        <f t="shared" si="14"/>
        <v/>
      </c>
      <c r="L34" s="745" t="str">
        <f t="shared" si="15"/>
        <v/>
      </c>
      <c r="M34" s="94"/>
      <c r="Q34" s="717"/>
      <c r="R34" s="725"/>
      <c r="S34" s="725"/>
      <c r="V34" s="729"/>
      <c r="W34" s="696"/>
    </row>
    <row r="35" spans="1:23" ht="13">
      <c r="A35" s="225"/>
      <c r="B35" s="370">
        <v>14</v>
      </c>
      <c r="C35" s="764" t="str">
        <f t="shared" si="0"/>
        <v/>
      </c>
      <c r="D35" s="762" t="str">
        <f t="shared" si="1"/>
        <v/>
      </c>
      <c r="E35" s="762" t="str">
        <f t="shared" si="2"/>
        <v/>
      </c>
      <c r="F35" s="762" t="str">
        <f t="shared" si="3"/>
        <v/>
      </c>
      <c r="G35" s="762" t="str">
        <f t="shared" si="4"/>
        <v/>
      </c>
      <c r="H35" s="445" t="str">
        <f t="shared" si="11"/>
        <v/>
      </c>
      <c r="I35" s="211" t="str">
        <f t="shared" si="12"/>
        <v/>
      </c>
      <c r="J35" s="211" t="str">
        <f t="shared" si="13"/>
        <v/>
      </c>
      <c r="K35" s="211" t="str">
        <f t="shared" si="14"/>
        <v/>
      </c>
      <c r="L35" s="745" t="str">
        <f t="shared" si="15"/>
        <v/>
      </c>
      <c r="M35" s="251"/>
      <c r="N35" s="21"/>
      <c r="O35" s="696"/>
      <c r="P35" s="21"/>
      <c r="Q35" s="728"/>
      <c r="R35" s="727"/>
      <c r="S35" s="725"/>
    </row>
    <row r="36" spans="1:23" ht="13">
      <c r="A36" s="225"/>
      <c r="B36" s="370">
        <v>15</v>
      </c>
      <c r="C36" s="764" t="str">
        <f t="shared" si="0"/>
        <v/>
      </c>
      <c r="D36" s="762" t="str">
        <f t="shared" si="1"/>
        <v/>
      </c>
      <c r="E36" s="762" t="str">
        <f t="shared" si="2"/>
        <v/>
      </c>
      <c r="F36" s="762" t="str">
        <f t="shared" si="3"/>
        <v/>
      </c>
      <c r="G36" s="762" t="str">
        <f t="shared" si="4"/>
        <v/>
      </c>
      <c r="H36" s="445" t="str">
        <f t="shared" si="11"/>
        <v/>
      </c>
      <c r="I36" s="211" t="str">
        <f t="shared" si="12"/>
        <v/>
      </c>
      <c r="J36" s="211" t="str">
        <f t="shared" si="13"/>
        <v/>
      </c>
      <c r="K36" s="211" t="str">
        <f t="shared" si="14"/>
        <v/>
      </c>
      <c r="L36" s="745" t="str">
        <f t="shared" si="15"/>
        <v/>
      </c>
      <c r="M36" s="94"/>
      <c r="Q36" s="717"/>
      <c r="R36" s="718"/>
      <c r="S36" s="717"/>
      <c r="U36" s="109"/>
    </row>
    <row r="37" spans="1:23" ht="13">
      <c r="A37" s="225"/>
      <c r="B37" s="370">
        <v>16</v>
      </c>
      <c r="C37" s="764" t="str">
        <f t="shared" si="0"/>
        <v/>
      </c>
      <c r="D37" s="762" t="str">
        <f t="shared" si="1"/>
        <v/>
      </c>
      <c r="E37" s="762" t="str">
        <f t="shared" si="2"/>
        <v/>
      </c>
      <c r="F37" s="762" t="str">
        <f t="shared" si="3"/>
        <v/>
      </c>
      <c r="G37" s="762" t="str">
        <f t="shared" si="4"/>
        <v/>
      </c>
      <c r="H37" s="445" t="str">
        <f t="shared" si="11"/>
        <v/>
      </c>
      <c r="I37" s="211" t="str">
        <f t="shared" si="12"/>
        <v/>
      </c>
      <c r="J37" s="211" t="str">
        <f t="shared" si="13"/>
        <v/>
      </c>
      <c r="K37" s="211" t="str">
        <f t="shared" si="14"/>
        <v/>
      </c>
      <c r="L37" s="745" t="str">
        <f t="shared" si="15"/>
        <v/>
      </c>
      <c r="M37" s="94"/>
      <c r="Q37" s="717"/>
      <c r="R37" s="718"/>
      <c r="S37" s="717"/>
      <c r="U37" s="109"/>
    </row>
    <row r="38" spans="1:23" ht="13">
      <c r="A38" s="225"/>
      <c r="B38" s="370">
        <v>17</v>
      </c>
      <c r="C38" s="764" t="str">
        <f t="shared" si="0"/>
        <v/>
      </c>
      <c r="D38" s="762" t="str">
        <f t="shared" si="1"/>
        <v/>
      </c>
      <c r="E38" s="762" t="str">
        <f t="shared" si="2"/>
        <v/>
      </c>
      <c r="F38" s="762" t="str">
        <f t="shared" si="3"/>
        <v/>
      </c>
      <c r="G38" s="762" t="str">
        <f t="shared" si="4"/>
        <v/>
      </c>
      <c r="H38" s="445" t="str">
        <f t="shared" si="11"/>
        <v/>
      </c>
      <c r="I38" s="211" t="str">
        <f t="shared" si="12"/>
        <v/>
      </c>
      <c r="J38" s="211" t="str">
        <f t="shared" si="13"/>
        <v/>
      </c>
      <c r="K38" s="211" t="str">
        <f t="shared" si="14"/>
        <v/>
      </c>
      <c r="L38" s="745" t="str">
        <f t="shared" si="15"/>
        <v/>
      </c>
      <c r="M38" s="94"/>
      <c r="O38" s="723"/>
      <c r="Q38" s="717"/>
      <c r="R38" s="725"/>
      <c r="S38" s="725"/>
    </row>
    <row r="39" spans="1:23" ht="13">
      <c r="A39" s="225"/>
      <c r="B39" s="370">
        <v>18</v>
      </c>
      <c r="C39" s="764" t="str">
        <f t="shared" si="0"/>
        <v/>
      </c>
      <c r="D39" s="762" t="str">
        <f t="shared" si="1"/>
        <v/>
      </c>
      <c r="E39" s="762" t="str">
        <f t="shared" si="2"/>
        <v/>
      </c>
      <c r="F39" s="762" t="str">
        <f t="shared" si="3"/>
        <v/>
      </c>
      <c r="G39" s="762" t="str">
        <f t="shared" si="4"/>
        <v/>
      </c>
      <c r="H39" s="445" t="str">
        <f t="shared" si="11"/>
        <v/>
      </c>
      <c r="I39" s="211" t="str">
        <f t="shared" si="12"/>
        <v/>
      </c>
      <c r="J39" s="211" t="str">
        <f t="shared" si="13"/>
        <v/>
      </c>
      <c r="K39" s="211" t="str">
        <f t="shared" si="14"/>
        <v/>
      </c>
      <c r="L39" s="745" t="str">
        <f t="shared" si="15"/>
        <v/>
      </c>
      <c r="M39" s="94"/>
      <c r="Q39" s="717"/>
      <c r="R39" s="725"/>
      <c r="S39" s="725"/>
      <c r="W39" s="697"/>
    </row>
    <row r="40" spans="1:23" ht="13">
      <c r="A40" s="225"/>
      <c r="B40" s="370">
        <v>19</v>
      </c>
      <c r="C40" s="764" t="str">
        <f t="shared" si="0"/>
        <v/>
      </c>
      <c r="D40" s="762" t="str">
        <f t="shared" si="1"/>
        <v/>
      </c>
      <c r="E40" s="762" t="str">
        <f t="shared" si="2"/>
        <v/>
      </c>
      <c r="F40" s="762" t="str">
        <f t="shared" si="3"/>
        <v/>
      </c>
      <c r="G40" s="762" t="str">
        <f t="shared" si="4"/>
        <v/>
      </c>
      <c r="H40" s="445" t="str">
        <f t="shared" si="11"/>
        <v/>
      </c>
      <c r="I40" s="211" t="str">
        <f t="shared" si="12"/>
        <v/>
      </c>
      <c r="J40" s="211" t="str">
        <f t="shared" si="13"/>
        <v/>
      </c>
      <c r="K40" s="211" t="str">
        <f t="shared" si="14"/>
        <v/>
      </c>
      <c r="L40" s="745" t="str">
        <f t="shared" si="15"/>
        <v/>
      </c>
      <c r="M40" s="251"/>
      <c r="O40" s="716"/>
      <c r="Q40" s="717"/>
      <c r="R40" s="718"/>
      <c r="S40" s="718"/>
    </row>
    <row r="41" spans="1:23" ht="13">
      <c r="A41" s="225"/>
      <c r="B41" s="370">
        <v>20</v>
      </c>
      <c r="C41" s="764" t="str">
        <f t="shared" si="0"/>
        <v/>
      </c>
      <c r="D41" s="762" t="str">
        <f t="shared" si="1"/>
        <v/>
      </c>
      <c r="E41" s="762" t="str">
        <f t="shared" si="2"/>
        <v/>
      </c>
      <c r="F41" s="762" t="str">
        <f t="shared" si="3"/>
        <v/>
      </c>
      <c r="G41" s="762" t="str">
        <f t="shared" si="4"/>
        <v/>
      </c>
      <c r="H41" s="445" t="str">
        <f t="shared" si="11"/>
        <v/>
      </c>
      <c r="I41" s="211" t="str">
        <f t="shared" si="12"/>
        <v/>
      </c>
      <c r="J41" s="211" t="str">
        <f t="shared" si="13"/>
        <v/>
      </c>
      <c r="K41" s="211" t="str">
        <f t="shared" si="14"/>
        <v/>
      </c>
      <c r="L41" s="745" t="str">
        <f t="shared" si="15"/>
        <v/>
      </c>
      <c r="M41" s="94"/>
      <c r="Q41" s="717"/>
      <c r="R41" s="718"/>
      <c r="S41" s="717"/>
      <c r="U41" s="109"/>
    </row>
    <row r="42" spans="1:23" ht="13">
      <c r="A42" s="225"/>
      <c r="B42" s="370">
        <v>21</v>
      </c>
      <c r="C42" s="764" t="str">
        <f t="shared" si="0"/>
        <v/>
      </c>
      <c r="D42" s="762" t="str">
        <f t="shared" si="1"/>
        <v/>
      </c>
      <c r="E42" s="762" t="str">
        <f t="shared" si="2"/>
        <v/>
      </c>
      <c r="F42" s="762" t="str">
        <f t="shared" si="3"/>
        <v/>
      </c>
      <c r="G42" s="762" t="str">
        <f t="shared" si="4"/>
        <v/>
      </c>
      <c r="H42" s="445" t="str">
        <f t="shared" si="11"/>
        <v/>
      </c>
      <c r="I42" s="211" t="str">
        <f t="shared" si="12"/>
        <v/>
      </c>
      <c r="J42" s="211" t="str">
        <f t="shared" si="13"/>
        <v/>
      </c>
      <c r="K42" s="211" t="str">
        <f t="shared" si="14"/>
        <v/>
      </c>
      <c r="L42" s="745" t="str">
        <f t="shared" si="15"/>
        <v/>
      </c>
      <c r="M42" s="94"/>
      <c r="Q42" s="717"/>
      <c r="R42" s="718"/>
      <c r="S42" s="717"/>
      <c r="U42" s="109"/>
    </row>
    <row r="43" spans="1:23" ht="13">
      <c r="A43" s="225"/>
      <c r="B43" s="370">
        <v>22</v>
      </c>
      <c r="C43" s="764" t="str">
        <f t="shared" si="0"/>
        <v/>
      </c>
      <c r="D43" s="762" t="str">
        <f t="shared" si="1"/>
        <v/>
      </c>
      <c r="E43" s="762" t="str">
        <f t="shared" si="2"/>
        <v/>
      </c>
      <c r="F43" s="762" t="str">
        <f t="shared" si="3"/>
        <v/>
      </c>
      <c r="G43" s="762" t="str">
        <f t="shared" si="4"/>
        <v/>
      </c>
      <c r="H43" s="445" t="str">
        <f t="shared" si="11"/>
        <v/>
      </c>
      <c r="I43" s="211" t="str">
        <f t="shared" si="12"/>
        <v/>
      </c>
      <c r="J43" s="211" t="str">
        <f t="shared" si="13"/>
        <v/>
      </c>
      <c r="K43" s="211" t="str">
        <f t="shared" si="14"/>
        <v/>
      </c>
      <c r="L43" s="745" t="str">
        <f t="shared" si="15"/>
        <v/>
      </c>
      <c r="M43" s="94"/>
      <c r="O43" s="723"/>
      <c r="Q43" s="717"/>
      <c r="R43" s="718"/>
      <c r="S43" s="718"/>
      <c r="W43" s="696"/>
    </row>
    <row r="44" spans="1:23" ht="13">
      <c r="A44" s="225"/>
      <c r="B44" s="370">
        <v>23</v>
      </c>
      <c r="C44" s="764" t="str">
        <f t="shared" si="0"/>
        <v/>
      </c>
      <c r="D44" s="762" t="str">
        <f t="shared" si="1"/>
        <v/>
      </c>
      <c r="E44" s="762" t="str">
        <f t="shared" si="2"/>
        <v/>
      </c>
      <c r="F44" s="762" t="str">
        <f t="shared" si="3"/>
        <v/>
      </c>
      <c r="G44" s="762" t="str">
        <f t="shared" si="4"/>
        <v/>
      </c>
      <c r="H44" s="445" t="str">
        <f t="shared" si="11"/>
        <v/>
      </c>
      <c r="I44" s="211" t="str">
        <f t="shared" si="12"/>
        <v/>
      </c>
      <c r="J44" s="211" t="str">
        <f t="shared" si="13"/>
        <v/>
      </c>
      <c r="K44" s="211" t="str">
        <f t="shared" si="14"/>
        <v/>
      </c>
      <c r="L44" s="745" t="str">
        <f t="shared" si="15"/>
        <v/>
      </c>
      <c r="M44" s="94"/>
      <c r="Q44" s="717"/>
      <c r="R44" s="718"/>
      <c r="S44" s="718"/>
      <c r="W44" s="701"/>
    </row>
    <row r="45" spans="1:23" ht="13">
      <c r="A45" s="225"/>
      <c r="B45" s="370">
        <v>24</v>
      </c>
      <c r="C45" s="764" t="str">
        <f t="shared" si="0"/>
        <v/>
      </c>
      <c r="D45" s="762" t="str">
        <f t="shared" si="1"/>
        <v/>
      </c>
      <c r="E45" s="762" t="str">
        <f t="shared" si="2"/>
        <v/>
      </c>
      <c r="F45" s="762" t="str">
        <f t="shared" si="3"/>
        <v/>
      </c>
      <c r="G45" s="762" t="str">
        <f t="shared" si="4"/>
        <v/>
      </c>
      <c r="H45" s="445" t="str">
        <f t="shared" si="11"/>
        <v/>
      </c>
      <c r="I45" s="211" t="str">
        <f t="shared" si="12"/>
        <v/>
      </c>
      <c r="J45" s="211" t="str">
        <f t="shared" si="13"/>
        <v/>
      </c>
      <c r="K45" s="211" t="str">
        <f t="shared" si="14"/>
        <v/>
      </c>
      <c r="L45" s="745" t="str">
        <f t="shared" si="15"/>
        <v/>
      </c>
      <c r="M45" s="251"/>
      <c r="O45" s="716"/>
      <c r="Q45" s="717"/>
      <c r="R45" s="718"/>
      <c r="S45" s="718"/>
      <c r="W45" s="109"/>
    </row>
    <row r="46" spans="1:23" ht="13">
      <c r="A46" s="225"/>
      <c r="B46" s="370">
        <v>25</v>
      </c>
      <c r="C46" s="764" t="str">
        <f t="shared" si="0"/>
        <v/>
      </c>
      <c r="D46" s="762" t="str">
        <f t="shared" si="1"/>
        <v/>
      </c>
      <c r="E46" s="762" t="str">
        <f t="shared" si="2"/>
        <v/>
      </c>
      <c r="F46" s="762" t="str">
        <f t="shared" si="3"/>
        <v/>
      </c>
      <c r="G46" s="762" t="str">
        <f t="shared" si="4"/>
        <v/>
      </c>
      <c r="H46" s="445" t="str">
        <f t="shared" si="11"/>
        <v/>
      </c>
      <c r="I46" s="211" t="str">
        <f t="shared" si="12"/>
        <v/>
      </c>
      <c r="J46" s="211" t="str">
        <f t="shared" si="13"/>
        <v/>
      </c>
      <c r="K46" s="211" t="str">
        <f t="shared" si="14"/>
        <v/>
      </c>
      <c r="L46" s="745" t="str">
        <f t="shared" si="15"/>
        <v/>
      </c>
      <c r="M46" s="94"/>
      <c r="Q46" s="717"/>
      <c r="R46" s="718"/>
      <c r="S46" s="717"/>
      <c r="U46" s="109"/>
    </row>
    <row r="47" spans="1:23" ht="13">
      <c r="A47" s="225"/>
      <c r="B47" s="370">
        <v>26</v>
      </c>
      <c r="C47" s="764" t="str">
        <f t="shared" si="0"/>
        <v/>
      </c>
      <c r="D47" s="762" t="str">
        <f t="shared" si="1"/>
        <v/>
      </c>
      <c r="E47" s="762" t="str">
        <f t="shared" si="2"/>
        <v/>
      </c>
      <c r="F47" s="762" t="str">
        <f t="shared" si="3"/>
        <v/>
      </c>
      <c r="G47" s="762" t="str">
        <f t="shared" si="4"/>
        <v/>
      </c>
      <c r="H47" s="445" t="str">
        <f t="shared" si="11"/>
        <v/>
      </c>
      <c r="I47" s="211" t="str">
        <f t="shared" si="12"/>
        <v/>
      </c>
      <c r="J47" s="211" t="str">
        <f t="shared" si="13"/>
        <v/>
      </c>
      <c r="K47" s="211" t="str">
        <f t="shared" si="14"/>
        <v/>
      </c>
      <c r="L47" s="745" t="str">
        <f t="shared" si="15"/>
        <v/>
      </c>
      <c r="M47" s="94"/>
      <c r="Q47" s="717"/>
      <c r="R47" s="718"/>
      <c r="S47" s="717"/>
      <c r="U47" s="109"/>
    </row>
    <row r="48" spans="1:23" ht="13">
      <c r="A48" s="225"/>
      <c r="B48" s="370">
        <v>27</v>
      </c>
      <c r="C48" s="764" t="str">
        <f t="shared" si="0"/>
        <v/>
      </c>
      <c r="D48" s="762" t="str">
        <f t="shared" si="1"/>
        <v/>
      </c>
      <c r="E48" s="762" t="str">
        <f t="shared" si="2"/>
        <v/>
      </c>
      <c r="F48" s="762" t="str">
        <f t="shared" si="3"/>
        <v/>
      </c>
      <c r="G48" s="762" t="str">
        <f t="shared" si="4"/>
        <v/>
      </c>
      <c r="H48" s="445" t="str">
        <f t="shared" si="11"/>
        <v/>
      </c>
      <c r="I48" s="211" t="str">
        <f t="shared" si="12"/>
        <v/>
      </c>
      <c r="J48" s="211" t="str">
        <f t="shared" si="13"/>
        <v/>
      </c>
      <c r="K48" s="211" t="str">
        <f t="shared" si="14"/>
        <v/>
      </c>
      <c r="L48" s="745" t="str">
        <f t="shared" si="15"/>
        <v/>
      </c>
      <c r="M48" s="94"/>
      <c r="O48" s="723"/>
      <c r="Q48" s="717"/>
      <c r="R48" s="718"/>
      <c r="S48" s="718"/>
    </row>
    <row r="49" spans="1:19" ht="12.75" customHeight="1">
      <c r="A49" s="225"/>
      <c r="B49" s="370">
        <v>28</v>
      </c>
      <c r="C49" s="764" t="str">
        <f t="shared" si="0"/>
        <v/>
      </c>
      <c r="D49" s="762" t="str">
        <f t="shared" si="1"/>
        <v/>
      </c>
      <c r="E49" s="762" t="str">
        <f t="shared" si="2"/>
        <v/>
      </c>
      <c r="F49" s="762" t="str">
        <f t="shared" si="3"/>
        <v/>
      </c>
      <c r="G49" s="762" t="str">
        <f t="shared" si="4"/>
        <v/>
      </c>
      <c r="H49" s="445" t="str">
        <f t="shared" si="11"/>
        <v/>
      </c>
      <c r="I49" s="211" t="str">
        <f t="shared" si="12"/>
        <v/>
      </c>
      <c r="J49" s="211" t="str">
        <f t="shared" si="13"/>
        <v/>
      </c>
      <c r="K49" s="211" t="str">
        <f t="shared" si="14"/>
        <v/>
      </c>
      <c r="L49" s="745" t="str">
        <f t="shared" si="15"/>
        <v/>
      </c>
      <c r="M49" s="94"/>
      <c r="Q49" s="730"/>
      <c r="S49" s="731"/>
    </row>
    <row r="50" spans="1:19" ht="12.75" customHeight="1">
      <c r="A50" s="225"/>
      <c r="B50" s="370">
        <v>29</v>
      </c>
      <c r="C50" s="764" t="str">
        <f t="shared" si="0"/>
        <v/>
      </c>
      <c r="D50" s="762" t="str">
        <f t="shared" si="1"/>
        <v/>
      </c>
      <c r="E50" s="762" t="str">
        <f t="shared" si="2"/>
        <v/>
      </c>
      <c r="F50" s="762" t="str">
        <f t="shared" si="3"/>
        <v/>
      </c>
      <c r="G50" s="762" t="str">
        <f t="shared" si="4"/>
        <v/>
      </c>
      <c r="H50" s="445" t="str">
        <f t="shared" si="11"/>
        <v/>
      </c>
      <c r="I50" s="211" t="str">
        <f t="shared" si="12"/>
        <v/>
      </c>
      <c r="J50" s="211" t="str">
        <f t="shared" si="13"/>
        <v/>
      </c>
      <c r="K50" s="211" t="str">
        <f t="shared" si="14"/>
        <v/>
      </c>
      <c r="L50" s="745" t="str">
        <f t="shared" si="15"/>
        <v/>
      </c>
      <c r="M50" s="94"/>
      <c r="Q50" s="730"/>
      <c r="S50" s="731"/>
    </row>
    <row r="51" spans="1:19" ht="12.75" customHeight="1">
      <c r="A51" s="225"/>
      <c r="B51" s="370">
        <v>30</v>
      </c>
      <c r="C51" s="764" t="str">
        <f t="shared" si="0"/>
        <v/>
      </c>
      <c r="D51" s="762" t="str">
        <f t="shared" si="1"/>
        <v/>
      </c>
      <c r="E51" s="762" t="str">
        <f t="shared" si="2"/>
        <v/>
      </c>
      <c r="F51" s="762" t="str">
        <f t="shared" si="3"/>
        <v/>
      </c>
      <c r="G51" s="762" t="str">
        <f t="shared" si="4"/>
        <v/>
      </c>
      <c r="H51" s="445" t="str">
        <f t="shared" si="11"/>
        <v/>
      </c>
      <c r="I51" s="211" t="str">
        <f t="shared" si="12"/>
        <v/>
      </c>
      <c r="J51" s="211" t="str">
        <f t="shared" si="13"/>
        <v/>
      </c>
      <c r="K51" s="211" t="str">
        <f t="shared" si="14"/>
        <v/>
      </c>
      <c r="L51" s="745" t="str">
        <f t="shared" si="15"/>
        <v/>
      </c>
      <c r="M51" s="94"/>
      <c r="Q51" s="730"/>
      <c r="S51" s="731"/>
    </row>
    <row r="52" spans="1:19" ht="12.75" customHeight="1">
      <c r="A52" s="225"/>
      <c r="B52" s="370">
        <v>31</v>
      </c>
      <c r="C52" s="764" t="str">
        <f t="shared" si="0"/>
        <v/>
      </c>
      <c r="D52" s="762" t="str">
        <f t="shared" si="1"/>
        <v/>
      </c>
      <c r="E52" s="762" t="str">
        <f t="shared" si="2"/>
        <v/>
      </c>
      <c r="F52" s="762" t="str">
        <f t="shared" si="3"/>
        <v/>
      </c>
      <c r="G52" s="762" t="str">
        <f t="shared" si="4"/>
        <v/>
      </c>
      <c r="H52" s="445" t="str">
        <f t="shared" si="11"/>
        <v/>
      </c>
      <c r="I52" s="211" t="str">
        <f t="shared" si="12"/>
        <v/>
      </c>
      <c r="J52" s="211" t="str">
        <f t="shared" si="13"/>
        <v/>
      </c>
      <c r="K52" s="211" t="str">
        <f t="shared" si="14"/>
        <v/>
      </c>
      <c r="L52" s="745" t="str">
        <f t="shared" si="15"/>
        <v/>
      </c>
      <c r="M52" s="94"/>
      <c r="Q52" s="730"/>
      <c r="S52" s="731"/>
    </row>
    <row r="53" spans="1:19" ht="12.75" customHeight="1">
      <c r="A53" s="225"/>
      <c r="B53" s="370">
        <v>32</v>
      </c>
      <c r="C53" s="764" t="str">
        <f t="shared" si="0"/>
        <v/>
      </c>
      <c r="D53" s="762" t="str">
        <f t="shared" si="1"/>
        <v/>
      </c>
      <c r="E53" s="762" t="str">
        <f t="shared" si="2"/>
        <v/>
      </c>
      <c r="F53" s="762" t="str">
        <f t="shared" si="3"/>
        <v/>
      </c>
      <c r="G53" s="762" t="str">
        <f t="shared" si="4"/>
        <v/>
      </c>
      <c r="H53" s="445" t="str">
        <f t="shared" si="11"/>
        <v/>
      </c>
      <c r="I53" s="211" t="str">
        <f t="shared" si="12"/>
        <v/>
      </c>
      <c r="J53" s="211" t="str">
        <f t="shared" si="13"/>
        <v/>
      </c>
      <c r="K53" s="211" t="str">
        <f t="shared" si="14"/>
        <v/>
      </c>
      <c r="L53" s="745" t="str">
        <f t="shared" si="15"/>
        <v/>
      </c>
      <c r="M53" s="94"/>
      <c r="Q53" s="730"/>
      <c r="S53" s="731"/>
    </row>
    <row r="54" spans="1:19" ht="12.75" customHeight="1">
      <c r="A54" s="225"/>
      <c r="B54" s="370">
        <v>33</v>
      </c>
      <c r="C54" s="764" t="str">
        <f t="shared" ref="C54:C85" si="16">IF($F$4&gt;=$B54,VLOOKUP(CONCATENATE("delinquency_",$B54),delinquencies,2,0),"")</f>
        <v/>
      </c>
      <c r="D54" s="762" t="str">
        <f t="shared" ref="D54:D85" si="17">IF($F$4&gt;=$B54,VLOOKUP(CONCATENATE("delinquency_",$B54),delinquencies,3,0),"")</f>
        <v/>
      </c>
      <c r="E54" s="762" t="str">
        <f t="shared" ref="E54:E85" si="18">IF($F$4&gt;=$B54,VLOOKUP(CONCATENATE("delinquency_",$B54),delinquencies,4,0),"")</f>
        <v/>
      </c>
      <c r="F54" s="762" t="str">
        <f t="shared" ref="F54:F85" si="19">IF($F$4&gt;=$B54,VLOOKUP(CONCATENATE("delinquency_",$B54),delinquencies,5,0),"")</f>
        <v/>
      </c>
      <c r="G54" s="762" t="str">
        <f t="shared" ref="G54:G85" si="20">IF($F$4&gt;=$B54,VLOOKUP(CONCATENATE("delinquency_",$B54),delinquencies,6,0),"")</f>
        <v/>
      </c>
      <c r="H54" s="445" t="str">
        <f t="shared" si="11"/>
        <v/>
      </c>
      <c r="I54" s="211" t="str">
        <f t="shared" si="12"/>
        <v/>
      </c>
      <c r="J54" s="211" t="str">
        <f t="shared" si="13"/>
        <v/>
      </c>
      <c r="K54" s="211" t="str">
        <f t="shared" si="14"/>
        <v/>
      </c>
      <c r="L54" s="745" t="str">
        <f t="shared" si="15"/>
        <v/>
      </c>
      <c r="M54" s="94"/>
      <c r="Q54" s="730"/>
      <c r="S54" s="731"/>
    </row>
    <row r="55" spans="1:19" ht="12.75" customHeight="1">
      <c r="A55" s="225"/>
      <c r="B55" s="370">
        <v>34</v>
      </c>
      <c r="C55" s="764" t="str">
        <f t="shared" si="16"/>
        <v/>
      </c>
      <c r="D55" s="762" t="str">
        <f t="shared" si="17"/>
        <v/>
      </c>
      <c r="E55" s="762" t="str">
        <f t="shared" si="18"/>
        <v/>
      </c>
      <c r="F55" s="762" t="str">
        <f t="shared" si="19"/>
        <v/>
      </c>
      <c r="G55" s="762" t="str">
        <f t="shared" si="20"/>
        <v/>
      </c>
      <c r="H55" s="445" t="str">
        <f t="shared" si="11"/>
        <v/>
      </c>
      <c r="I55" s="211" t="str">
        <f t="shared" si="12"/>
        <v/>
      </c>
      <c r="J55" s="211" t="str">
        <f t="shared" si="13"/>
        <v/>
      </c>
      <c r="K55" s="211" t="str">
        <f t="shared" si="14"/>
        <v/>
      </c>
      <c r="L55" s="745" t="str">
        <f t="shared" si="15"/>
        <v/>
      </c>
      <c r="M55" s="94"/>
      <c r="Q55" s="730"/>
      <c r="S55" s="731"/>
    </row>
    <row r="56" spans="1:19" ht="12.75" customHeight="1">
      <c r="A56" s="225"/>
      <c r="B56" s="370">
        <v>35</v>
      </c>
      <c r="C56" s="764" t="str">
        <f t="shared" si="16"/>
        <v/>
      </c>
      <c r="D56" s="762" t="str">
        <f t="shared" si="17"/>
        <v/>
      </c>
      <c r="E56" s="762" t="str">
        <f t="shared" si="18"/>
        <v/>
      </c>
      <c r="F56" s="762" t="str">
        <f t="shared" si="19"/>
        <v/>
      </c>
      <c r="G56" s="762" t="str">
        <f t="shared" si="20"/>
        <v/>
      </c>
      <c r="H56" s="445" t="str">
        <f t="shared" si="11"/>
        <v/>
      </c>
      <c r="I56" s="211" t="str">
        <f t="shared" si="12"/>
        <v/>
      </c>
      <c r="J56" s="211" t="str">
        <f t="shared" si="13"/>
        <v/>
      </c>
      <c r="K56" s="211" t="str">
        <f t="shared" si="14"/>
        <v/>
      </c>
      <c r="L56" s="745" t="str">
        <f t="shared" si="15"/>
        <v/>
      </c>
      <c r="M56" s="94"/>
      <c r="Q56" s="730"/>
      <c r="S56" s="731"/>
    </row>
    <row r="57" spans="1:19" ht="12.75" customHeight="1">
      <c r="A57" s="225"/>
      <c r="B57" s="370">
        <v>36</v>
      </c>
      <c r="C57" s="764" t="str">
        <f t="shared" si="16"/>
        <v/>
      </c>
      <c r="D57" s="762" t="str">
        <f t="shared" si="17"/>
        <v/>
      </c>
      <c r="E57" s="762" t="str">
        <f t="shared" si="18"/>
        <v/>
      </c>
      <c r="F57" s="762" t="str">
        <f t="shared" si="19"/>
        <v/>
      </c>
      <c r="G57" s="762" t="str">
        <f t="shared" si="20"/>
        <v/>
      </c>
      <c r="H57" s="445" t="str">
        <f t="shared" si="11"/>
        <v/>
      </c>
      <c r="I57" s="211" t="str">
        <f t="shared" si="12"/>
        <v/>
      </c>
      <c r="J57" s="211" t="str">
        <f t="shared" si="13"/>
        <v/>
      </c>
      <c r="K57" s="211" t="str">
        <f t="shared" si="14"/>
        <v/>
      </c>
      <c r="L57" s="745" t="str">
        <f t="shared" si="15"/>
        <v/>
      </c>
      <c r="M57" s="94"/>
      <c r="Q57" s="730"/>
      <c r="S57" s="731"/>
    </row>
    <row r="58" spans="1:19" ht="12.75" customHeight="1">
      <c r="A58" s="225"/>
      <c r="B58" s="370">
        <v>37</v>
      </c>
      <c r="C58" s="764" t="str">
        <f t="shared" si="16"/>
        <v/>
      </c>
      <c r="D58" s="762" t="str">
        <f t="shared" si="17"/>
        <v/>
      </c>
      <c r="E58" s="762" t="str">
        <f t="shared" si="18"/>
        <v/>
      </c>
      <c r="F58" s="762" t="str">
        <f t="shared" si="19"/>
        <v/>
      </c>
      <c r="G58" s="762" t="str">
        <f t="shared" si="20"/>
        <v/>
      </c>
      <c r="H58" s="445" t="str">
        <f t="shared" si="11"/>
        <v/>
      </c>
      <c r="I58" s="211" t="str">
        <f t="shared" si="12"/>
        <v/>
      </c>
      <c r="J58" s="211" t="str">
        <f t="shared" si="13"/>
        <v/>
      </c>
      <c r="K58" s="211" t="str">
        <f t="shared" si="14"/>
        <v/>
      </c>
      <c r="L58" s="745" t="str">
        <f t="shared" si="15"/>
        <v/>
      </c>
      <c r="M58" s="94"/>
      <c r="Q58" s="730"/>
      <c r="S58" s="731"/>
    </row>
    <row r="59" spans="1:19" ht="12.75" customHeight="1">
      <c r="A59" s="225"/>
      <c r="B59" s="370">
        <v>38</v>
      </c>
      <c r="C59" s="764" t="str">
        <f t="shared" si="16"/>
        <v/>
      </c>
      <c r="D59" s="762" t="str">
        <f t="shared" si="17"/>
        <v/>
      </c>
      <c r="E59" s="762" t="str">
        <f t="shared" si="18"/>
        <v/>
      </c>
      <c r="F59" s="762" t="str">
        <f t="shared" si="19"/>
        <v/>
      </c>
      <c r="G59" s="762" t="str">
        <f t="shared" si="20"/>
        <v/>
      </c>
      <c r="H59" s="445" t="str">
        <f t="shared" si="11"/>
        <v/>
      </c>
      <c r="I59" s="211" t="str">
        <f t="shared" si="12"/>
        <v/>
      </c>
      <c r="J59" s="211" t="str">
        <f t="shared" si="13"/>
        <v/>
      </c>
      <c r="K59" s="211" t="str">
        <f t="shared" si="14"/>
        <v/>
      </c>
      <c r="L59" s="745" t="str">
        <f t="shared" si="15"/>
        <v/>
      </c>
      <c r="M59" s="94"/>
      <c r="Q59" s="730"/>
      <c r="S59" s="731"/>
    </row>
    <row r="60" spans="1:19" ht="12.75" customHeight="1">
      <c r="A60" s="225"/>
      <c r="B60" s="370">
        <v>39</v>
      </c>
      <c r="C60" s="764" t="str">
        <f t="shared" si="16"/>
        <v/>
      </c>
      <c r="D60" s="762" t="str">
        <f t="shared" si="17"/>
        <v/>
      </c>
      <c r="E60" s="762" t="str">
        <f t="shared" si="18"/>
        <v/>
      </c>
      <c r="F60" s="762" t="str">
        <f t="shared" si="19"/>
        <v/>
      </c>
      <c r="G60" s="762" t="str">
        <f t="shared" si="20"/>
        <v/>
      </c>
      <c r="H60" s="445" t="str">
        <f t="shared" si="11"/>
        <v/>
      </c>
      <c r="I60" s="211" t="str">
        <f t="shared" si="12"/>
        <v/>
      </c>
      <c r="J60" s="211" t="str">
        <f t="shared" si="13"/>
        <v/>
      </c>
      <c r="K60" s="211" t="str">
        <f t="shared" si="14"/>
        <v/>
      </c>
      <c r="L60" s="745" t="str">
        <f t="shared" si="15"/>
        <v/>
      </c>
      <c r="M60" s="94"/>
      <c r="Q60" s="730"/>
      <c r="S60" s="731"/>
    </row>
    <row r="61" spans="1:19" ht="12.75" customHeight="1">
      <c r="A61" s="225"/>
      <c r="B61" s="370">
        <v>40</v>
      </c>
      <c r="C61" s="764" t="str">
        <f t="shared" si="16"/>
        <v/>
      </c>
      <c r="D61" s="762" t="str">
        <f t="shared" si="17"/>
        <v/>
      </c>
      <c r="E61" s="762" t="str">
        <f t="shared" si="18"/>
        <v/>
      </c>
      <c r="F61" s="762" t="str">
        <f t="shared" si="19"/>
        <v/>
      </c>
      <c r="G61" s="762" t="str">
        <f t="shared" si="20"/>
        <v/>
      </c>
      <c r="H61" s="445" t="str">
        <f t="shared" si="11"/>
        <v/>
      </c>
      <c r="I61" s="211" t="str">
        <f t="shared" si="12"/>
        <v/>
      </c>
      <c r="J61" s="211" t="str">
        <f t="shared" si="13"/>
        <v/>
      </c>
      <c r="K61" s="211" t="str">
        <f t="shared" si="14"/>
        <v/>
      </c>
      <c r="L61" s="745" t="str">
        <f t="shared" si="15"/>
        <v/>
      </c>
      <c r="M61" s="94"/>
      <c r="Q61" s="730"/>
      <c r="S61" s="731"/>
    </row>
    <row r="62" spans="1:19" ht="12.75" customHeight="1">
      <c r="A62" s="225"/>
      <c r="B62" s="370">
        <v>41</v>
      </c>
      <c r="C62" s="764" t="str">
        <f t="shared" si="16"/>
        <v/>
      </c>
      <c r="D62" s="762" t="str">
        <f t="shared" si="17"/>
        <v/>
      </c>
      <c r="E62" s="762" t="str">
        <f t="shared" si="18"/>
        <v/>
      </c>
      <c r="F62" s="762" t="str">
        <f t="shared" si="19"/>
        <v/>
      </c>
      <c r="G62" s="762" t="str">
        <f t="shared" si="20"/>
        <v/>
      </c>
      <c r="H62" s="445" t="str">
        <f t="shared" si="11"/>
        <v/>
      </c>
      <c r="I62" s="211" t="str">
        <f t="shared" si="12"/>
        <v/>
      </c>
      <c r="J62" s="211" t="str">
        <f t="shared" si="13"/>
        <v/>
      </c>
      <c r="K62" s="211" t="str">
        <f t="shared" si="14"/>
        <v/>
      </c>
      <c r="L62" s="745" t="str">
        <f t="shared" si="15"/>
        <v/>
      </c>
      <c r="M62" s="94"/>
      <c r="Q62" s="730"/>
      <c r="S62" s="731"/>
    </row>
    <row r="63" spans="1:19" ht="12.75" customHeight="1">
      <c r="A63" s="225"/>
      <c r="B63" s="370">
        <v>42</v>
      </c>
      <c r="C63" s="764" t="str">
        <f t="shared" si="16"/>
        <v/>
      </c>
      <c r="D63" s="762" t="str">
        <f t="shared" si="17"/>
        <v/>
      </c>
      <c r="E63" s="762" t="str">
        <f t="shared" si="18"/>
        <v/>
      </c>
      <c r="F63" s="762" t="str">
        <f t="shared" si="19"/>
        <v/>
      </c>
      <c r="G63" s="762" t="str">
        <f t="shared" si="20"/>
        <v/>
      </c>
      <c r="H63" s="445" t="str">
        <f t="shared" si="11"/>
        <v/>
      </c>
      <c r="I63" s="211" t="str">
        <f t="shared" si="12"/>
        <v/>
      </c>
      <c r="J63" s="211" t="str">
        <f t="shared" si="13"/>
        <v/>
      </c>
      <c r="K63" s="211" t="str">
        <f t="shared" si="14"/>
        <v/>
      </c>
      <c r="L63" s="745" t="str">
        <f t="shared" si="15"/>
        <v/>
      </c>
      <c r="M63" s="94"/>
      <c r="Q63" s="730"/>
      <c r="S63" s="731"/>
    </row>
    <row r="64" spans="1:19" ht="12.75" customHeight="1">
      <c r="A64" s="225"/>
      <c r="B64" s="370">
        <v>43</v>
      </c>
      <c r="C64" s="764" t="str">
        <f t="shared" si="16"/>
        <v/>
      </c>
      <c r="D64" s="762" t="str">
        <f t="shared" si="17"/>
        <v/>
      </c>
      <c r="E64" s="762" t="str">
        <f t="shared" si="18"/>
        <v/>
      </c>
      <c r="F64" s="762" t="str">
        <f t="shared" si="19"/>
        <v/>
      </c>
      <c r="G64" s="762" t="str">
        <f t="shared" si="20"/>
        <v/>
      </c>
      <c r="H64" s="445" t="str">
        <f t="shared" si="11"/>
        <v/>
      </c>
      <c r="I64" s="211" t="str">
        <f t="shared" si="12"/>
        <v/>
      </c>
      <c r="J64" s="211" t="str">
        <f t="shared" si="13"/>
        <v/>
      </c>
      <c r="K64" s="211" t="str">
        <f t="shared" si="14"/>
        <v/>
      </c>
      <c r="L64" s="745" t="str">
        <f t="shared" si="15"/>
        <v/>
      </c>
      <c r="M64" s="94"/>
      <c r="Q64" s="730"/>
      <c r="S64" s="731"/>
    </row>
    <row r="65" spans="1:19" ht="12.75" customHeight="1">
      <c r="A65" s="225"/>
      <c r="B65" s="370">
        <v>44</v>
      </c>
      <c r="C65" s="764" t="str">
        <f t="shared" si="16"/>
        <v/>
      </c>
      <c r="D65" s="762" t="str">
        <f t="shared" si="17"/>
        <v/>
      </c>
      <c r="E65" s="762" t="str">
        <f t="shared" si="18"/>
        <v/>
      </c>
      <c r="F65" s="762" t="str">
        <f t="shared" si="19"/>
        <v/>
      </c>
      <c r="G65" s="762" t="str">
        <f t="shared" si="20"/>
        <v/>
      </c>
      <c r="H65" s="445" t="str">
        <f t="shared" si="11"/>
        <v/>
      </c>
      <c r="I65" s="211" t="str">
        <f t="shared" si="12"/>
        <v/>
      </c>
      <c r="J65" s="211" t="str">
        <f t="shared" si="13"/>
        <v/>
      </c>
      <c r="K65" s="211" t="str">
        <f t="shared" si="14"/>
        <v/>
      </c>
      <c r="L65" s="745" t="str">
        <f t="shared" si="15"/>
        <v/>
      </c>
      <c r="M65" s="94"/>
      <c r="Q65" s="730"/>
      <c r="S65" s="731"/>
    </row>
    <row r="66" spans="1:19" ht="12.75" customHeight="1">
      <c r="A66" s="225"/>
      <c r="B66" s="370">
        <v>45</v>
      </c>
      <c r="C66" s="764" t="str">
        <f t="shared" si="16"/>
        <v/>
      </c>
      <c r="D66" s="762" t="str">
        <f t="shared" si="17"/>
        <v/>
      </c>
      <c r="E66" s="762" t="str">
        <f t="shared" si="18"/>
        <v/>
      </c>
      <c r="F66" s="762" t="str">
        <f t="shared" si="19"/>
        <v/>
      </c>
      <c r="G66" s="762" t="str">
        <f t="shared" si="20"/>
        <v/>
      </c>
      <c r="H66" s="445" t="str">
        <f t="shared" si="11"/>
        <v/>
      </c>
      <c r="I66" s="211" t="str">
        <f t="shared" si="12"/>
        <v/>
      </c>
      <c r="J66" s="211" t="str">
        <f t="shared" si="13"/>
        <v/>
      </c>
      <c r="K66" s="211" t="str">
        <f t="shared" si="14"/>
        <v/>
      </c>
      <c r="L66" s="745" t="str">
        <f t="shared" si="15"/>
        <v/>
      </c>
      <c r="M66" s="94"/>
      <c r="Q66" s="730"/>
      <c r="S66" s="731"/>
    </row>
    <row r="67" spans="1:19" ht="12.75" customHeight="1">
      <c r="A67" s="225"/>
      <c r="B67" s="370">
        <v>46</v>
      </c>
      <c r="C67" s="764" t="str">
        <f t="shared" si="16"/>
        <v/>
      </c>
      <c r="D67" s="762" t="str">
        <f t="shared" si="17"/>
        <v/>
      </c>
      <c r="E67" s="762" t="str">
        <f t="shared" si="18"/>
        <v/>
      </c>
      <c r="F67" s="762" t="str">
        <f t="shared" si="19"/>
        <v/>
      </c>
      <c r="G67" s="762" t="str">
        <f t="shared" si="20"/>
        <v/>
      </c>
      <c r="H67" s="445" t="str">
        <f t="shared" si="11"/>
        <v/>
      </c>
      <c r="I67" s="211" t="str">
        <f t="shared" si="12"/>
        <v/>
      </c>
      <c r="J67" s="211" t="str">
        <f t="shared" si="13"/>
        <v/>
      </c>
      <c r="K67" s="211" t="str">
        <f t="shared" si="14"/>
        <v/>
      </c>
      <c r="L67" s="745" t="str">
        <f t="shared" si="15"/>
        <v/>
      </c>
      <c r="M67" s="94"/>
      <c r="Q67" s="730"/>
      <c r="S67" s="731"/>
    </row>
    <row r="68" spans="1:19" ht="12.75" customHeight="1">
      <c r="A68" s="225"/>
      <c r="B68" s="370">
        <v>47</v>
      </c>
      <c r="C68" s="764" t="str">
        <f t="shared" si="16"/>
        <v/>
      </c>
      <c r="D68" s="762" t="str">
        <f t="shared" si="17"/>
        <v/>
      </c>
      <c r="E68" s="762" t="str">
        <f t="shared" si="18"/>
        <v/>
      </c>
      <c r="F68" s="762" t="str">
        <f t="shared" si="19"/>
        <v/>
      </c>
      <c r="G68" s="762" t="str">
        <f t="shared" si="20"/>
        <v/>
      </c>
      <c r="H68" s="445" t="str">
        <f t="shared" si="11"/>
        <v/>
      </c>
      <c r="I68" s="211" t="str">
        <f t="shared" si="12"/>
        <v/>
      </c>
      <c r="J68" s="211" t="str">
        <f t="shared" si="13"/>
        <v/>
      </c>
      <c r="K68" s="211" t="str">
        <f t="shared" si="14"/>
        <v/>
      </c>
      <c r="L68" s="745" t="str">
        <f t="shared" si="15"/>
        <v/>
      </c>
      <c r="M68" s="94"/>
      <c r="Q68" s="730"/>
      <c r="S68" s="731"/>
    </row>
    <row r="69" spans="1:19" ht="12.75" customHeight="1">
      <c r="A69" s="225"/>
      <c r="B69" s="370">
        <v>48</v>
      </c>
      <c r="C69" s="764" t="str">
        <f t="shared" si="16"/>
        <v/>
      </c>
      <c r="D69" s="762" t="str">
        <f t="shared" si="17"/>
        <v/>
      </c>
      <c r="E69" s="762" t="str">
        <f t="shared" si="18"/>
        <v/>
      </c>
      <c r="F69" s="762" t="str">
        <f t="shared" si="19"/>
        <v/>
      </c>
      <c r="G69" s="762" t="str">
        <f t="shared" si="20"/>
        <v/>
      </c>
      <c r="H69" s="445" t="str">
        <f t="shared" si="11"/>
        <v/>
      </c>
      <c r="I69" s="211" t="str">
        <f t="shared" si="12"/>
        <v/>
      </c>
      <c r="J69" s="211" t="str">
        <f t="shared" si="13"/>
        <v/>
      </c>
      <c r="K69" s="211" t="str">
        <f t="shared" si="14"/>
        <v/>
      </c>
      <c r="L69" s="745" t="str">
        <f t="shared" si="15"/>
        <v/>
      </c>
      <c r="M69" s="94"/>
      <c r="Q69" s="730"/>
      <c r="S69" s="731"/>
    </row>
    <row r="70" spans="1:19" ht="12.75" customHeight="1">
      <c r="A70" s="225"/>
      <c r="B70" s="370">
        <v>49</v>
      </c>
      <c r="C70" s="764" t="str">
        <f t="shared" si="16"/>
        <v/>
      </c>
      <c r="D70" s="762" t="str">
        <f t="shared" si="17"/>
        <v/>
      </c>
      <c r="E70" s="762" t="str">
        <f t="shared" si="18"/>
        <v/>
      </c>
      <c r="F70" s="762" t="str">
        <f t="shared" si="19"/>
        <v/>
      </c>
      <c r="G70" s="762" t="str">
        <f t="shared" si="20"/>
        <v/>
      </c>
      <c r="H70" s="445" t="str">
        <f t="shared" si="11"/>
        <v/>
      </c>
      <c r="I70" s="211" t="str">
        <f t="shared" si="12"/>
        <v/>
      </c>
      <c r="J70" s="211" t="str">
        <f t="shared" si="13"/>
        <v/>
      </c>
      <c r="K70" s="211" t="str">
        <f t="shared" si="14"/>
        <v/>
      </c>
      <c r="L70" s="745" t="str">
        <f t="shared" si="15"/>
        <v/>
      </c>
      <c r="M70" s="94"/>
      <c r="Q70" s="730"/>
      <c r="S70" s="731"/>
    </row>
    <row r="71" spans="1:19" ht="12.75" customHeight="1">
      <c r="A71" s="225"/>
      <c r="B71" s="370">
        <v>50</v>
      </c>
      <c r="C71" s="764" t="str">
        <f t="shared" si="16"/>
        <v/>
      </c>
      <c r="D71" s="762" t="str">
        <f t="shared" si="17"/>
        <v/>
      </c>
      <c r="E71" s="762" t="str">
        <f t="shared" si="18"/>
        <v/>
      </c>
      <c r="F71" s="762" t="str">
        <f t="shared" si="19"/>
        <v/>
      </c>
      <c r="G71" s="762" t="str">
        <f t="shared" si="20"/>
        <v/>
      </c>
      <c r="H71" s="445" t="str">
        <f t="shared" si="11"/>
        <v/>
      </c>
      <c r="I71" s="211" t="str">
        <f t="shared" si="12"/>
        <v/>
      </c>
      <c r="J71" s="211" t="str">
        <f t="shared" si="13"/>
        <v/>
      </c>
      <c r="K71" s="211" t="str">
        <f t="shared" si="14"/>
        <v/>
      </c>
      <c r="L71" s="745" t="str">
        <f t="shared" si="15"/>
        <v/>
      </c>
      <c r="M71" s="94"/>
      <c r="Q71" s="730"/>
      <c r="S71" s="731"/>
    </row>
    <row r="72" spans="1:19" ht="12.75" customHeight="1">
      <c r="A72" s="225"/>
      <c r="B72" s="370">
        <v>51</v>
      </c>
      <c r="C72" s="764" t="str">
        <f t="shared" si="16"/>
        <v/>
      </c>
      <c r="D72" s="762" t="str">
        <f t="shared" si="17"/>
        <v/>
      </c>
      <c r="E72" s="762" t="str">
        <f t="shared" si="18"/>
        <v/>
      </c>
      <c r="F72" s="762" t="str">
        <f t="shared" si="19"/>
        <v/>
      </c>
      <c r="G72" s="762" t="str">
        <f t="shared" si="20"/>
        <v/>
      </c>
      <c r="H72" s="445" t="str">
        <f t="shared" si="11"/>
        <v/>
      </c>
      <c r="I72" s="211" t="str">
        <f t="shared" si="12"/>
        <v/>
      </c>
      <c r="J72" s="211" t="str">
        <f t="shared" si="13"/>
        <v/>
      </c>
      <c r="K72" s="211" t="str">
        <f t="shared" si="14"/>
        <v/>
      </c>
      <c r="L72" s="745" t="str">
        <f t="shared" si="15"/>
        <v/>
      </c>
      <c r="M72" s="94"/>
      <c r="Q72" s="730"/>
      <c r="S72" s="731"/>
    </row>
    <row r="73" spans="1:19" ht="12.75" customHeight="1">
      <c r="A73" s="225"/>
      <c r="B73" s="370">
        <v>52</v>
      </c>
      <c r="C73" s="764" t="str">
        <f t="shared" si="16"/>
        <v/>
      </c>
      <c r="D73" s="762" t="str">
        <f t="shared" si="17"/>
        <v/>
      </c>
      <c r="E73" s="762" t="str">
        <f t="shared" si="18"/>
        <v/>
      </c>
      <c r="F73" s="762" t="str">
        <f t="shared" si="19"/>
        <v/>
      </c>
      <c r="G73" s="762" t="str">
        <f t="shared" si="20"/>
        <v/>
      </c>
      <c r="H73" s="445" t="str">
        <f t="shared" si="11"/>
        <v/>
      </c>
      <c r="I73" s="211" t="str">
        <f t="shared" si="12"/>
        <v/>
      </c>
      <c r="J73" s="211" t="str">
        <f t="shared" si="13"/>
        <v/>
      </c>
      <c r="K73" s="211" t="str">
        <f t="shared" si="14"/>
        <v/>
      </c>
      <c r="L73" s="745" t="str">
        <f t="shared" si="15"/>
        <v/>
      </c>
      <c r="M73" s="94"/>
      <c r="Q73" s="730"/>
      <c r="S73" s="731"/>
    </row>
    <row r="74" spans="1:19" ht="12.75" customHeight="1">
      <c r="A74" s="225"/>
      <c r="B74" s="370">
        <v>53</v>
      </c>
      <c r="C74" s="764" t="str">
        <f t="shared" si="16"/>
        <v/>
      </c>
      <c r="D74" s="762" t="str">
        <f t="shared" si="17"/>
        <v/>
      </c>
      <c r="E74" s="762" t="str">
        <f t="shared" si="18"/>
        <v/>
      </c>
      <c r="F74" s="762" t="str">
        <f t="shared" si="19"/>
        <v/>
      </c>
      <c r="G74" s="762" t="str">
        <f t="shared" si="20"/>
        <v/>
      </c>
      <c r="H74" s="445" t="str">
        <f t="shared" si="11"/>
        <v/>
      </c>
      <c r="I74" s="211" t="str">
        <f t="shared" si="12"/>
        <v/>
      </c>
      <c r="J74" s="211" t="str">
        <f t="shared" si="13"/>
        <v/>
      </c>
      <c r="K74" s="211" t="str">
        <f t="shared" si="14"/>
        <v/>
      </c>
      <c r="L74" s="745" t="str">
        <f t="shared" si="15"/>
        <v/>
      </c>
      <c r="M74" s="94"/>
      <c r="Q74" s="730"/>
      <c r="S74" s="731"/>
    </row>
    <row r="75" spans="1:19" ht="12.75" customHeight="1">
      <c r="A75" s="225"/>
      <c r="B75" s="370">
        <v>54</v>
      </c>
      <c r="C75" s="764" t="str">
        <f t="shared" si="16"/>
        <v/>
      </c>
      <c r="D75" s="762" t="str">
        <f t="shared" si="17"/>
        <v/>
      </c>
      <c r="E75" s="762" t="str">
        <f t="shared" si="18"/>
        <v/>
      </c>
      <c r="F75" s="762" t="str">
        <f t="shared" si="19"/>
        <v/>
      </c>
      <c r="G75" s="762" t="str">
        <f t="shared" si="20"/>
        <v/>
      </c>
      <c r="H75" s="445" t="str">
        <f t="shared" si="11"/>
        <v/>
      </c>
      <c r="I75" s="211" t="str">
        <f t="shared" si="12"/>
        <v/>
      </c>
      <c r="J75" s="211" t="str">
        <f t="shared" si="13"/>
        <v/>
      </c>
      <c r="K75" s="211" t="str">
        <f t="shared" si="14"/>
        <v/>
      </c>
      <c r="L75" s="745" t="str">
        <f t="shared" si="15"/>
        <v/>
      </c>
      <c r="M75" s="94"/>
      <c r="Q75" s="730"/>
      <c r="S75" s="731"/>
    </row>
    <row r="76" spans="1:19" ht="12.75" customHeight="1">
      <c r="A76" s="225"/>
      <c r="B76" s="370">
        <v>55</v>
      </c>
      <c r="C76" s="764" t="str">
        <f t="shared" si="16"/>
        <v/>
      </c>
      <c r="D76" s="762" t="str">
        <f t="shared" si="17"/>
        <v/>
      </c>
      <c r="E76" s="762" t="str">
        <f t="shared" si="18"/>
        <v/>
      </c>
      <c r="F76" s="762" t="str">
        <f t="shared" si="19"/>
        <v/>
      </c>
      <c r="G76" s="762" t="str">
        <f t="shared" si="20"/>
        <v/>
      </c>
      <c r="H76" s="445" t="str">
        <f t="shared" si="11"/>
        <v/>
      </c>
      <c r="I76" s="211" t="str">
        <f t="shared" si="12"/>
        <v/>
      </c>
      <c r="J76" s="211" t="str">
        <f t="shared" si="13"/>
        <v/>
      </c>
      <c r="K76" s="211" t="str">
        <f t="shared" si="14"/>
        <v/>
      </c>
      <c r="L76" s="745" t="str">
        <f t="shared" si="15"/>
        <v/>
      </c>
      <c r="M76" s="94"/>
      <c r="Q76" s="730"/>
      <c r="S76" s="731"/>
    </row>
    <row r="77" spans="1:19" ht="12.75" customHeight="1">
      <c r="A77" s="225"/>
      <c r="B77" s="370">
        <v>56</v>
      </c>
      <c r="C77" s="764" t="str">
        <f t="shared" si="16"/>
        <v/>
      </c>
      <c r="D77" s="762" t="str">
        <f t="shared" si="17"/>
        <v/>
      </c>
      <c r="E77" s="762" t="str">
        <f t="shared" si="18"/>
        <v/>
      </c>
      <c r="F77" s="762" t="str">
        <f t="shared" si="19"/>
        <v/>
      </c>
      <c r="G77" s="762" t="str">
        <f t="shared" si="20"/>
        <v/>
      </c>
      <c r="H77" s="445" t="str">
        <f t="shared" si="11"/>
        <v/>
      </c>
      <c r="I77" s="211" t="str">
        <f t="shared" si="12"/>
        <v/>
      </c>
      <c r="J77" s="211" t="str">
        <f t="shared" si="13"/>
        <v/>
      </c>
      <c r="K77" s="211" t="str">
        <f t="shared" si="14"/>
        <v/>
      </c>
      <c r="L77" s="745" t="str">
        <f t="shared" si="15"/>
        <v/>
      </c>
      <c r="M77" s="94"/>
      <c r="Q77" s="730"/>
      <c r="S77" s="731"/>
    </row>
    <row r="78" spans="1:19" ht="12.75" customHeight="1">
      <c r="A78" s="225"/>
      <c r="B78" s="370">
        <v>57</v>
      </c>
      <c r="C78" s="764" t="str">
        <f t="shared" si="16"/>
        <v/>
      </c>
      <c r="D78" s="762" t="str">
        <f t="shared" si="17"/>
        <v/>
      </c>
      <c r="E78" s="762" t="str">
        <f t="shared" si="18"/>
        <v/>
      </c>
      <c r="F78" s="762" t="str">
        <f t="shared" si="19"/>
        <v/>
      </c>
      <c r="G78" s="762" t="str">
        <f t="shared" si="20"/>
        <v/>
      </c>
      <c r="H78" s="445" t="str">
        <f t="shared" si="11"/>
        <v/>
      </c>
      <c r="I78" s="211" t="str">
        <f t="shared" si="12"/>
        <v/>
      </c>
      <c r="J78" s="211" t="str">
        <f t="shared" si="13"/>
        <v/>
      </c>
      <c r="K78" s="211" t="str">
        <f t="shared" si="14"/>
        <v/>
      </c>
      <c r="L78" s="745" t="str">
        <f t="shared" si="15"/>
        <v/>
      </c>
      <c r="M78" s="94"/>
      <c r="Q78" s="730"/>
      <c r="S78" s="731"/>
    </row>
    <row r="79" spans="1:19" ht="12.75" customHeight="1">
      <c r="A79" s="225"/>
      <c r="B79" s="370">
        <v>58</v>
      </c>
      <c r="C79" s="764" t="str">
        <f t="shared" si="16"/>
        <v/>
      </c>
      <c r="D79" s="762" t="str">
        <f t="shared" si="17"/>
        <v/>
      </c>
      <c r="E79" s="762" t="str">
        <f t="shared" si="18"/>
        <v/>
      </c>
      <c r="F79" s="762" t="str">
        <f t="shared" si="19"/>
        <v/>
      </c>
      <c r="G79" s="762" t="str">
        <f t="shared" si="20"/>
        <v/>
      </c>
      <c r="H79" s="445" t="str">
        <f t="shared" si="11"/>
        <v/>
      </c>
      <c r="I79" s="211" t="str">
        <f t="shared" si="12"/>
        <v/>
      </c>
      <c r="J79" s="211" t="str">
        <f t="shared" si="13"/>
        <v/>
      </c>
      <c r="K79" s="211" t="str">
        <f t="shared" si="14"/>
        <v/>
      </c>
      <c r="L79" s="745" t="str">
        <f t="shared" si="15"/>
        <v/>
      </c>
      <c r="M79" s="94"/>
      <c r="Q79" s="730"/>
      <c r="S79" s="731"/>
    </row>
    <row r="80" spans="1:19" ht="12.75" customHeight="1">
      <c r="A80" s="225"/>
      <c r="B80" s="370">
        <v>59</v>
      </c>
      <c r="C80" s="764" t="str">
        <f t="shared" si="16"/>
        <v/>
      </c>
      <c r="D80" s="762" t="str">
        <f t="shared" si="17"/>
        <v/>
      </c>
      <c r="E80" s="762" t="str">
        <f t="shared" si="18"/>
        <v/>
      </c>
      <c r="F80" s="762" t="str">
        <f t="shared" si="19"/>
        <v/>
      </c>
      <c r="G80" s="762" t="str">
        <f t="shared" si="20"/>
        <v/>
      </c>
      <c r="H80" s="445" t="str">
        <f t="shared" si="11"/>
        <v/>
      </c>
      <c r="I80" s="211" t="str">
        <f t="shared" si="12"/>
        <v/>
      </c>
      <c r="J80" s="211" t="str">
        <f t="shared" si="13"/>
        <v/>
      </c>
      <c r="K80" s="211" t="str">
        <f t="shared" si="14"/>
        <v/>
      </c>
      <c r="L80" s="745" t="str">
        <f t="shared" si="15"/>
        <v/>
      </c>
      <c r="M80" s="94"/>
      <c r="Q80" s="730"/>
      <c r="S80" s="731"/>
    </row>
    <row r="81" spans="1:19" ht="12.75" customHeight="1">
      <c r="A81" s="225"/>
      <c r="B81" s="370">
        <v>60</v>
      </c>
      <c r="C81" s="764" t="str">
        <f t="shared" si="16"/>
        <v/>
      </c>
      <c r="D81" s="762" t="str">
        <f t="shared" si="17"/>
        <v/>
      </c>
      <c r="E81" s="762" t="str">
        <f t="shared" si="18"/>
        <v/>
      </c>
      <c r="F81" s="762" t="str">
        <f t="shared" si="19"/>
        <v/>
      </c>
      <c r="G81" s="762" t="str">
        <f t="shared" si="20"/>
        <v/>
      </c>
      <c r="H81" s="445" t="str">
        <f t="shared" si="11"/>
        <v/>
      </c>
      <c r="I81" s="211" t="str">
        <f t="shared" si="12"/>
        <v/>
      </c>
      <c r="J81" s="211" t="str">
        <f t="shared" si="13"/>
        <v/>
      </c>
      <c r="K81" s="211" t="str">
        <f t="shared" si="14"/>
        <v/>
      </c>
      <c r="L81" s="745" t="str">
        <f t="shared" si="15"/>
        <v/>
      </c>
      <c r="M81" s="94"/>
      <c r="Q81" s="730"/>
      <c r="S81" s="731"/>
    </row>
    <row r="82" spans="1:19" ht="12.75" customHeight="1">
      <c r="A82" s="225"/>
      <c r="B82" s="370">
        <v>61</v>
      </c>
      <c r="C82" s="764" t="str">
        <f t="shared" si="16"/>
        <v/>
      </c>
      <c r="D82" s="762" t="str">
        <f t="shared" si="17"/>
        <v/>
      </c>
      <c r="E82" s="762" t="str">
        <f t="shared" si="18"/>
        <v/>
      </c>
      <c r="F82" s="762" t="str">
        <f t="shared" si="19"/>
        <v/>
      </c>
      <c r="G82" s="762" t="str">
        <f t="shared" si="20"/>
        <v/>
      </c>
      <c r="H82" s="445" t="str">
        <f t="shared" si="11"/>
        <v/>
      </c>
      <c r="I82" s="211" t="str">
        <f t="shared" si="12"/>
        <v/>
      </c>
      <c r="J82" s="211" t="str">
        <f t="shared" si="13"/>
        <v/>
      </c>
      <c r="K82" s="211" t="str">
        <f t="shared" si="14"/>
        <v/>
      </c>
      <c r="L82" s="745" t="str">
        <f t="shared" si="15"/>
        <v/>
      </c>
      <c r="M82" s="94"/>
      <c r="Q82" s="730"/>
      <c r="S82" s="731"/>
    </row>
    <row r="83" spans="1:19" ht="12.75" customHeight="1">
      <c r="A83" s="225"/>
      <c r="B83" s="370">
        <v>62</v>
      </c>
      <c r="C83" s="764" t="str">
        <f t="shared" si="16"/>
        <v/>
      </c>
      <c r="D83" s="762" t="str">
        <f t="shared" si="17"/>
        <v/>
      </c>
      <c r="E83" s="762" t="str">
        <f t="shared" si="18"/>
        <v/>
      </c>
      <c r="F83" s="762" t="str">
        <f t="shared" si="19"/>
        <v/>
      </c>
      <c r="G83" s="762" t="str">
        <f t="shared" si="20"/>
        <v/>
      </c>
      <c r="H83" s="445" t="str">
        <f t="shared" si="11"/>
        <v/>
      </c>
      <c r="I83" s="211" t="str">
        <f t="shared" si="12"/>
        <v/>
      </c>
      <c r="J83" s="211" t="str">
        <f t="shared" si="13"/>
        <v/>
      </c>
      <c r="K83" s="211" t="str">
        <f t="shared" si="14"/>
        <v/>
      </c>
      <c r="L83" s="745" t="str">
        <f t="shared" si="15"/>
        <v/>
      </c>
      <c r="M83" s="94"/>
      <c r="Q83" s="730"/>
      <c r="S83" s="731"/>
    </row>
    <row r="84" spans="1:19" ht="12.75" customHeight="1">
      <c r="A84" s="225"/>
      <c r="B84" s="370">
        <v>63</v>
      </c>
      <c r="C84" s="764" t="str">
        <f t="shared" si="16"/>
        <v/>
      </c>
      <c r="D84" s="762" t="str">
        <f t="shared" si="17"/>
        <v/>
      </c>
      <c r="E84" s="762" t="str">
        <f t="shared" si="18"/>
        <v/>
      </c>
      <c r="F84" s="762" t="str">
        <f t="shared" si="19"/>
        <v/>
      </c>
      <c r="G84" s="762" t="str">
        <f t="shared" si="20"/>
        <v/>
      </c>
      <c r="H84" s="445" t="str">
        <f t="shared" si="11"/>
        <v/>
      </c>
      <c r="I84" s="211" t="str">
        <f t="shared" si="12"/>
        <v/>
      </c>
      <c r="J84" s="211" t="str">
        <f t="shared" si="13"/>
        <v/>
      </c>
      <c r="K84" s="211" t="str">
        <f t="shared" si="14"/>
        <v/>
      </c>
      <c r="L84" s="745" t="str">
        <f t="shared" si="15"/>
        <v/>
      </c>
      <c r="M84" s="94"/>
      <c r="Q84" s="730"/>
      <c r="S84" s="731"/>
    </row>
    <row r="85" spans="1:19" ht="12.75" customHeight="1">
      <c r="A85" s="225"/>
      <c r="B85" s="370">
        <v>64</v>
      </c>
      <c r="C85" s="764" t="str">
        <f t="shared" si="16"/>
        <v/>
      </c>
      <c r="D85" s="762" t="str">
        <f t="shared" si="17"/>
        <v/>
      </c>
      <c r="E85" s="762" t="str">
        <f t="shared" si="18"/>
        <v/>
      </c>
      <c r="F85" s="762" t="str">
        <f t="shared" si="19"/>
        <v/>
      </c>
      <c r="G85" s="762" t="str">
        <f t="shared" si="20"/>
        <v/>
      </c>
      <c r="H85" s="445" t="str">
        <f t="shared" si="11"/>
        <v/>
      </c>
      <c r="I85" s="211" t="str">
        <f t="shared" si="12"/>
        <v/>
      </c>
      <c r="J85" s="211" t="str">
        <f t="shared" si="13"/>
        <v/>
      </c>
      <c r="K85" s="211" t="str">
        <f t="shared" si="14"/>
        <v/>
      </c>
      <c r="L85" s="745" t="str">
        <f t="shared" si="15"/>
        <v/>
      </c>
      <c r="M85" s="94"/>
      <c r="Q85" s="730"/>
      <c r="S85" s="731"/>
    </row>
    <row r="86" spans="1:19" ht="12.75" customHeight="1">
      <c r="A86" s="225"/>
      <c r="B86" s="370">
        <v>65</v>
      </c>
      <c r="C86" s="764" t="str">
        <f t="shared" ref="C86:C101" si="21">IF($F$4&gt;=$B86,VLOOKUP(CONCATENATE("delinquency_",$B86),delinquencies,2,0),"")</f>
        <v/>
      </c>
      <c r="D86" s="762" t="str">
        <f t="shared" ref="D86:D101" si="22">IF($F$4&gt;=$B86,VLOOKUP(CONCATENATE("delinquency_",$B86),delinquencies,3,0),"")</f>
        <v/>
      </c>
      <c r="E86" s="762" t="str">
        <f t="shared" ref="E86:E101" si="23">IF($F$4&gt;=$B86,VLOOKUP(CONCATENATE("delinquency_",$B86),delinquencies,4,0),"")</f>
        <v/>
      </c>
      <c r="F86" s="762" t="str">
        <f t="shared" ref="F86:F101" si="24">IF($F$4&gt;=$B86,VLOOKUP(CONCATENATE("delinquency_",$B86),delinquencies,5,0),"")</f>
        <v/>
      </c>
      <c r="G86" s="762" t="str">
        <f t="shared" ref="G86:G101" si="25">IF($F$4&gt;=$B86,VLOOKUP(CONCATENATE("delinquency_",$B86),delinquencies,6,0),"")</f>
        <v/>
      </c>
      <c r="H86" s="445" t="str">
        <f t="shared" si="11"/>
        <v/>
      </c>
      <c r="I86" s="211" t="str">
        <f t="shared" si="12"/>
        <v/>
      </c>
      <c r="J86" s="211" t="str">
        <f t="shared" si="13"/>
        <v/>
      </c>
      <c r="K86" s="211" t="str">
        <f t="shared" si="14"/>
        <v/>
      </c>
      <c r="L86" s="745" t="str">
        <f t="shared" si="15"/>
        <v/>
      </c>
      <c r="M86" s="94"/>
      <c r="Q86" s="730"/>
      <c r="S86" s="731"/>
    </row>
    <row r="87" spans="1:19" ht="12.75" customHeight="1">
      <c r="A87" s="225"/>
      <c r="B87" s="370">
        <v>66</v>
      </c>
      <c r="C87" s="764" t="str">
        <f t="shared" si="21"/>
        <v/>
      </c>
      <c r="D87" s="762" t="str">
        <f t="shared" si="22"/>
        <v/>
      </c>
      <c r="E87" s="762" t="str">
        <f t="shared" si="23"/>
        <v/>
      </c>
      <c r="F87" s="762" t="str">
        <f t="shared" si="24"/>
        <v/>
      </c>
      <c r="G87" s="762" t="str">
        <f t="shared" si="25"/>
        <v/>
      </c>
      <c r="H87" s="445" t="str">
        <f t="shared" si="11"/>
        <v/>
      </c>
      <c r="I87" s="211" t="str">
        <f t="shared" si="12"/>
        <v/>
      </c>
      <c r="J87" s="211" t="str">
        <f t="shared" si="13"/>
        <v/>
      </c>
      <c r="K87" s="211" t="str">
        <f t="shared" si="14"/>
        <v/>
      </c>
      <c r="L87" s="745" t="str">
        <f t="shared" si="15"/>
        <v/>
      </c>
      <c r="M87" s="94"/>
      <c r="Q87" s="730"/>
      <c r="S87" s="731"/>
    </row>
    <row r="88" spans="1:19" ht="12.75" customHeight="1">
      <c r="A88" s="225"/>
      <c r="B88" s="370">
        <v>67</v>
      </c>
      <c r="C88" s="764" t="str">
        <f t="shared" si="21"/>
        <v/>
      </c>
      <c r="D88" s="762" t="str">
        <f t="shared" si="22"/>
        <v/>
      </c>
      <c r="E88" s="762" t="str">
        <f t="shared" si="23"/>
        <v/>
      </c>
      <c r="F88" s="762" t="str">
        <f t="shared" si="24"/>
        <v/>
      </c>
      <c r="G88" s="762" t="str">
        <f t="shared" si="25"/>
        <v/>
      </c>
      <c r="H88" s="445" t="str">
        <f t="shared" si="11"/>
        <v/>
      </c>
      <c r="I88" s="211" t="str">
        <f t="shared" si="12"/>
        <v/>
      </c>
      <c r="J88" s="211" t="str">
        <f t="shared" si="13"/>
        <v/>
      </c>
      <c r="K88" s="211" t="str">
        <f t="shared" si="14"/>
        <v/>
      </c>
      <c r="L88" s="745" t="str">
        <f t="shared" si="15"/>
        <v/>
      </c>
      <c r="M88" s="94"/>
      <c r="Q88" s="730"/>
      <c r="S88" s="731"/>
    </row>
    <row r="89" spans="1:19" ht="12.75" customHeight="1">
      <c r="A89" s="225"/>
      <c r="B89" s="370">
        <v>68</v>
      </c>
      <c r="C89" s="764" t="str">
        <f t="shared" si="21"/>
        <v/>
      </c>
      <c r="D89" s="762" t="str">
        <f t="shared" si="22"/>
        <v/>
      </c>
      <c r="E89" s="762" t="str">
        <f t="shared" si="23"/>
        <v/>
      </c>
      <c r="F89" s="762" t="str">
        <f t="shared" si="24"/>
        <v/>
      </c>
      <c r="G89" s="762" t="str">
        <f t="shared" si="25"/>
        <v/>
      </c>
      <c r="H89" s="445" t="str">
        <f t="shared" ref="H89:H101" si="26">IF(B89&lt;=$F$4,(C89-D89-E89-F89-G89)/C89,"")</f>
        <v/>
      </c>
      <c r="I89" s="211" t="str">
        <f t="shared" ref="I89:I101" si="27">IF($B89&lt;=$F$4,D89/$C89,"")</f>
        <v/>
      </c>
      <c r="J89" s="211" t="str">
        <f t="shared" ref="J89:J101" si="28">IF($B89&lt;=$F$4,E89/$C89,"")</f>
        <v/>
      </c>
      <c r="K89" s="211" t="str">
        <f t="shared" ref="K89:K101" si="29">IF($B89&lt;=$F$4,F89/$C89,"")</f>
        <v/>
      </c>
      <c r="L89" s="745" t="str">
        <f t="shared" ref="L89:L101" si="30">IF($B89&lt;=$F$4,G89/$C89,"")</f>
        <v/>
      </c>
      <c r="M89" s="94"/>
      <c r="Q89" s="730"/>
      <c r="S89" s="731"/>
    </row>
    <row r="90" spans="1:19" ht="12.75" customHeight="1">
      <c r="A90" s="225"/>
      <c r="B90" s="370">
        <v>69</v>
      </c>
      <c r="C90" s="764" t="str">
        <f t="shared" si="21"/>
        <v/>
      </c>
      <c r="D90" s="762" t="str">
        <f t="shared" si="22"/>
        <v/>
      </c>
      <c r="E90" s="762" t="str">
        <f t="shared" si="23"/>
        <v/>
      </c>
      <c r="F90" s="762" t="str">
        <f t="shared" si="24"/>
        <v/>
      </c>
      <c r="G90" s="762" t="str">
        <f t="shared" si="25"/>
        <v/>
      </c>
      <c r="H90" s="445" t="str">
        <f t="shared" si="26"/>
        <v/>
      </c>
      <c r="I90" s="211" t="str">
        <f t="shared" si="27"/>
        <v/>
      </c>
      <c r="J90" s="211" t="str">
        <f t="shared" si="28"/>
        <v/>
      </c>
      <c r="K90" s="211" t="str">
        <f t="shared" si="29"/>
        <v/>
      </c>
      <c r="L90" s="745" t="str">
        <f t="shared" si="30"/>
        <v/>
      </c>
      <c r="M90" s="94"/>
      <c r="Q90" s="730"/>
      <c r="S90" s="731"/>
    </row>
    <row r="91" spans="1:19" ht="12.75" customHeight="1">
      <c r="A91" s="225"/>
      <c r="B91" s="370">
        <v>70</v>
      </c>
      <c r="C91" s="764" t="str">
        <f t="shared" si="21"/>
        <v/>
      </c>
      <c r="D91" s="762" t="str">
        <f t="shared" si="22"/>
        <v/>
      </c>
      <c r="E91" s="762" t="str">
        <f t="shared" si="23"/>
        <v/>
      </c>
      <c r="F91" s="762" t="str">
        <f t="shared" si="24"/>
        <v/>
      </c>
      <c r="G91" s="762" t="str">
        <f t="shared" si="25"/>
        <v/>
      </c>
      <c r="H91" s="445" t="str">
        <f t="shared" si="26"/>
        <v/>
      </c>
      <c r="I91" s="211" t="str">
        <f t="shared" si="27"/>
        <v/>
      </c>
      <c r="J91" s="211" t="str">
        <f t="shared" si="28"/>
        <v/>
      </c>
      <c r="K91" s="211" t="str">
        <f t="shared" si="29"/>
        <v/>
      </c>
      <c r="L91" s="745" t="str">
        <f t="shared" si="30"/>
        <v/>
      </c>
      <c r="M91" s="94"/>
      <c r="Q91" s="730"/>
      <c r="S91" s="731"/>
    </row>
    <row r="92" spans="1:19" ht="12.75" customHeight="1">
      <c r="A92" s="225"/>
      <c r="B92" s="370">
        <v>71</v>
      </c>
      <c r="C92" s="764" t="str">
        <f t="shared" si="21"/>
        <v/>
      </c>
      <c r="D92" s="762" t="str">
        <f t="shared" si="22"/>
        <v/>
      </c>
      <c r="E92" s="762" t="str">
        <f t="shared" si="23"/>
        <v/>
      </c>
      <c r="F92" s="762" t="str">
        <f t="shared" si="24"/>
        <v/>
      </c>
      <c r="G92" s="762" t="str">
        <f t="shared" si="25"/>
        <v/>
      </c>
      <c r="H92" s="445" t="str">
        <f t="shared" si="26"/>
        <v/>
      </c>
      <c r="I92" s="211" t="str">
        <f t="shared" si="27"/>
        <v/>
      </c>
      <c r="J92" s="211" t="str">
        <f t="shared" si="28"/>
        <v/>
      </c>
      <c r="K92" s="211" t="str">
        <f t="shared" si="29"/>
        <v/>
      </c>
      <c r="L92" s="745" t="str">
        <f t="shared" si="30"/>
        <v/>
      </c>
      <c r="M92" s="94"/>
      <c r="Q92" s="730"/>
      <c r="S92" s="731"/>
    </row>
    <row r="93" spans="1:19" ht="12.75" customHeight="1">
      <c r="A93" s="225"/>
      <c r="B93" s="370">
        <v>72</v>
      </c>
      <c r="C93" s="764" t="str">
        <f t="shared" si="21"/>
        <v/>
      </c>
      <c r="D93" s="762" t="str">
        <f t="shared" si="22"/>
        <v/>
      </c>
      <c r="E93" s="762" t="str">
        <f t="shared" si="23"/>
        <v/>
      </c>
      <c r="F93" s="762" t="str">
        <f t="shared" si="24"/>
        <v/>
      </c>
      <c r="G93" s="762" t="str">
        <f t="shared" si="25"/>
        <v/>
      </c>
      <c r="H93" s="445" t="str">
        <f t="shared" si="26"/>
        <v/>
      </c>
      <c r="I93" s="211" t="str">
        <f t="shared" si="27"/>
        <v/>
      </c>
      <c r="J93" s="211" t="str">
        <f t="shared" si="28"/>
        <v/>
      </c>
      <c r="K93" s="211" t="str">
        <f t="shared" si="29"/>
        <v/>
      </c>
      <c r="L93" s="745" t="str">
        <f t="shared" si="30"/>
        <v/>
      </c>
      <c r="M93" s="94"/>
      <c r="Q93" s="730"/>
      <c r="S93" s="731"/>
    </row>
    <row r="94" spans="1:19" ht="12.75" customHeight="1">
      <c r="A94" s="225"/>
      <c r="B94" s="370">
        <v>73</v>
      </c>
      <c r="C94" s="764" t="str">
        <f t="shared" si="21"/>
        <v/>
      </c>
      <c r="D94" s="762" t="str">
        <f t="shared" si="22"/>
        <v/>
      </c>
      <c r="E94" s="762" t="str">
        <f t="shared" si="23"/>
        <v/>
      </c>
      <c r="F94" s="762" t="str">
        <f t="shared" si="24"/>
        <v/>
      </c>
      <c r="G94" s="762" t="str">
        <f t="shared" si="25"/>
        <v/>
      </c>
      <c r="H94" s="445" t="str">
        <f t="shared" si="26"/>
        <v/>
      </c>
      <c r="I94" s="211" t="str">
        <f t="shared" si="27"/>
        <v/>
      </c>
      <c r="J94" s="211" t="str">
        <f t="shared" si="28"/>
        <v/>
      </c>
      <c r="K94" s="211" t="str">
        <f t="shared" si="29"/>
        <v/>
      </c>
      <c r="L94" s="745" t="str">
        <f t="shared" si="30"/>
        <v/>
      </c>
      <c r="M94" s="94"/>
      <c r="Q94" s="730"/>
      <c r="S94" s="731"/>
    </row>
    <row r="95" spans="1:19" ht="12.75" customHeight="1">
      <c r="A95" s="225"/>
      <c r="B95" s="370">
        <v>74</v>
      </c>
      <c r="C95" s="764" t="str">
        <f t="shared" si="21"/>
        <v/>
      </c>
      <c r="D95" s="762" t="str">
        <f t="shared" si="22"/>
        <v/>
      </c>
      <c r="E95" s="762" t="str">
        <f t="shared" si="23"/>
        <v/>
      </c>
      <c r="F95" s="762" t="str">
        <f t="shared" si="24"/>
        <v/>
      </c>
      <c r="G95" s="762" t="str">
        <f t="shared" si="25"/>
        <v/>
      </c>
      <c r="H95" s="445" t="str">
        <f t="shared" si="26"/>
        <v/>
      </c>
      <c r="I95" s="211" t="str">
        <f t="shared" si="27"/>
        <v/>
      </c>
      <c r="J95" s="211" t="str">
        <f t="shared" si="28"/>
        <v/>
      </c>
      <c r="K95" s="211" t="str">
        <f t="shared" si="29"/>
        <v/>
      </c>
      <c r="L95" s="745" t="str">
        <f t="shared" si="30"/>
        <v/>
      </c>
      <c r="M95" s="94"/>
      <c r="Q95" s="730"/>
      <c r="S95" s="731"/>
    </row>
    <row r="96" spans="1:19" ht="12.75" customHeight="1">
      <c r="A96" s="225"/>
      <c r="B96" s="370">
        <v>75</v>
      </c>
      <c r="C96" s="764" t="str">
        <f t="shared" si="21"/>
        <v/>
      </c>
      <c r="D96" s="762" t="str">
        <f t="shared" si="22"/>
        <v/>
      </c>
      <c r="E96" s="762" t="str">
        <f t="shared" si="23"/>
        <v/>
      </c>
      <c r="F96" s="762" t="str">
        <f t="shared" si="24"/>
        <v/>
      </c>
      <c r="G96" s="762" t="str">
        <f t="shared" si="25"/>
        <v/>
      </c>
      <c r="H96" s="445" t="str">
        <f t="shared" si="26"/>
        <v/>
      </c>
      <c r="I96" s="211" t="str">
        <f t="shared" si="27"/>
        <v/>
      </c>
      <c r="J96" s="211" t="str">
        <f t="shared" si="28"/>
        <v/>
      </c>
      <c r="K96" s="211" t="str">
        <f t="shared" si="29"/>
        <v/>
      </c>
      <c r="L96" s="745" t="str">
        <f t="shared" si="30"/>
        <v/>
      </c>
      <c r="M96" s="94"/>
      <c r="Q96" s="730"/>
      <c r="S96" s="731"/>
    </row>
    <row r="97" spans="1:19" ht="12.75" customHeight="1">
      <c r="A97" s="225"/>
      <c r="B97" s="370">
        <v>76</v>
      </c>
      <c r="C97" s="764" t="str">
        <f t="shared" si="21"/>
        <v/>
      </c>
      <c r="D97" s="762" t="str">
        <f t="shared" si="22"/>
        <v/>
      </c>
      <c r="E97" s="762" t="str">
        <f t="shared" si="23"/>
        <v/>
      </c>
      <c r="F97" s="762" t="str">
        <f t="shared" si="24"/>
        <v/>
      </c>
      <c r="G97" s="762" t="str">
        <f t="shared" si="25"/>
        <v/>
      </c>
      <c r="H97" s="445" t="str">
        <f t="shared" si="26"/>
        <v/>
      </c>
      <c r="I97" s="211" t="str">
        <f t="shared" si="27"/>
        <v/>
      </c>
      <c r="J97" s="211" t="str">
        <f t="shared" si="28"/>
        <v/>
      </c>
      <c r="K97" s="211" t="str">
        <f t="shared" si="29"/>
        <v/>
      </c>
      <c r="L97" s="745" t="str">
        <f t="shared" si="30"/>
        <v/>
      </c>
      <c r="M97" s="94"/>
      <c r="Q97" s="730"/>
      <c r="S97" s="731"/>
    </row>
    <row r="98" spans="1:19" ht="12.75" customHeight="1">
      <c r="A98" s="225"/>
      <c r="B98" s="370">
        <v>77</v>
      </c>
      <c r="C98" s="764" t="str">
        <f t="shared" si="21"/>
        <v/>
      </c>
      <c r="D98" s="762" t="str">
        <f t="shared" si="22"/>
        <v/>
      </c>
      <c r="E98" s="762" t="str">
        <f t="shared" si="23"/>
        <v/>
      </c>
      <c r="F98" s="762" t="str">
        <f t="shared" si="24"/>
        <v/>
      </c>
      <c r="G98" s="762" t="str">
        <f t="shared" si="25"/>
        <v/>
      </c>
      <c r="H98" s="445" t="str">
        <f t="shared" si="26"/>
        <v/>
      </c>
      <c r="I98" s="211" t="str">
        <f t="shared" si="27"/>
        <v/>
      </c>
      <c r="J98" s="211" t="str">
        <f t="shared" si="28"/>
        <v/>
      </c>
      <c r="K98" s="211" t="str">
        <f t="shared" si="29"/>
        <v/>
      </c>
      <c r="L98" s="745" t="str">
        <f t="shared" si="30"/>
        <v/>
      </c>
      <c r="M98" s="94"/>
      <c r="Q98" s="730"/>
      <c r="S98" s="731"/>
    </row>
    <row r="99" spans="1:19" ht="12.75" customHeight="1">
      <c r="A99" s="225"/>
      <c r="B99" s="370">
        <v>78</v>
      </c>
      <c r="C99" s="764" t="str">
        <f t="shared" si="21"/>
        <v/>
      </c>
      <c r="D99" s="762" t="str">
        <f t="shared" si="22"/>
        <v/>
      </c>
      <c r="E99" s="762" t="str">
        <f t="shared" si="23"/>
        <v/>
      </c>
      <c r="F99" s="762" t="str">
        <f t="shared" si="24"/>
        <v/>
      </c>
      <c r="G99" s="762" t="str">
        <f t="shared" si="25"/>
        <v/>
      </c>
      <c r="H99" s="445" t="str">
        <f t="shared" si="26"/>
        <v/>
      </c>
      <c r="I99" s="211" t="str">
        <f t="shared" si="27"/>
        <v/>
      </c>
      <c r="J99" s="211" t="str">
        <f t="shared" si="28"/>
        <v/>
      </c>
      <c r="K99" s="211" t="str">
        <f t="shared" si="29"/>
        <v/>
      </c>
      <c r="L99" s="745" t="str">
        <f t="shared" si="30"/>
        <v/>
      </c>
      <c r="M99" s="94"/>
      <c r="Q99" s="730"/>
      <c r="S99" s="731"/>
    </row>
    <row r="100" spans="1:19" ht="12.75" customHeight="1">
      <c r="A100" s="225"/>
      <c r="B100" s="370">
        <v>79</v>
      </c>
      <c r="C100" s="764" t="str">
        <f t="shared" si="21"/>
        <v/>
      </c>
      <c r="D100" s="762" t="str">
        <f t="shared" si="22"/>
        <v/>
      </c>
      <c r="E100" s="762" t="str">
        <f t="shared" si="23"/>
        <v/>
      </c>
      <c r="F100" s="762" t="str">
        <f t="shared" si="24"/>
        <v/>
      </c>
      <c r="G100" s="762" t="str">
        <f t="shared" si="25"/>
        <v/>
      </c>
      <c r="H100" s="445" t="str">
        <f t="shared" si="26"/>
        <v/>
      </c>
      <c r="I100" s="211" t="str">
        <f t="shared" si="27"/>
        <v/>
      </c>
      <c r="J100" s="211" t="str">
        <f t="shared" si="28"/>
        <v/>
      </c>
      <c r="K100" s="211" t="str">
        <f t="shared" si="29"/>
        <v/>
      </c>
      <c r="L100" s="745" t="str">
        <f t="shared" si="30"/>
        <v/>
      </c>
      <c r="M100" s="94"/>
      <c r="Q100" s="730"/>
      <c r="S100" s="731"/>
    </row>
    <row r="101" spans="1:19">
      <c r="A101" s="225"/>
      <c r="B101" s="732">
        <v>80</v>
      </c>
      <c r="C101" s="763" t="str">
        <f t="shared" si="21"/>
        <v/>
      </c>
      <c r="D101" s="763" t="str">
        <f t="shared" si="22"/>
        <v/>
      </c>
      <c r="E101" s="763" t="str">
        <f t="shared" si="23"/>
        <v/>
      </c>
      <c r="F101" s="763" t="str">
        <f t="shared" si="24"/>
        <v/>
      </c>
      <c r="G101" s="763" t="str">
        <f t="shared" si="25"/>
        <v/>
      </c>
      <c r="H101" s="414" t="str">
        <f t="shared" si="26"/>
        <v/>
      </c>
      <c r="I101" s="414" t="str">
        <f t="shared" si="27"/>
        <v/>
      </c>
      <c r="J101" s="414" t="str">
        <f t="shared" si="28"/>
        <v/>
      </c>
      <c r="K101" s="414" t="str">
        <f t="shared" si="29"/>
        <v/>
      </c>
      <c r="L101" s="415" t="str">
        <f t="shared" si="30"/>
        <v/>
      </c>
      <c r="M101" s="94"/>
    </row>
    <row r="102" spans="1:19">
      <c r="A102" s="285"/>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45848</v>
      </c>
      <c r="G2" s="228"/>
      <c r="H2" s="228"/>
      <c r="I2" s="228"/>
      <c r="J2" s="228"/>
      <c r="K2" s="228"/>
      <c r="L2" s="230"/>
      <c r="M2" s="94"/>
    </row>
    <row r="3" spans="1:13" ht="18">
      <c r="A3" s="225"/>
      <c r="B3" s="226" t="str">
        <f>'Cover Sheet'!B3</f>
        <v>Monthly Investor Report</v>
      </c>
      <c r="C3" s="226"/>
      <c r="D3" s="232" t="str">
        <f>'Cover Sheet'!D3</f>
        <v>Payment Date</v>
      </c>
      <c r="E3" s="233"/>
      <c r="F3" s="234">
        <f>'Cover Sheet'!F3</f>
        <v>45852</v>
      </c>
      <c r="G3" s="233"/>
      <c r="H3" s="233"/>
      <c r="I3" s="233"/>
      <c r="J3" s="233"/>
      <c r="K3" s="233"/>
      <c r="L3" s="235"/>
      <c r="M3" s="94"/>
    </row>
    <row r="4" spans="1:13">
      <c r="A4" s="225"/>
      <c r="B4" s="734"/>
      <c r="C4" s="109"/>
      <c r="D4" s="232" t="str">
        <f>'Cover Sheet'!D4</f>
        <v>Period  No</v>
      </c>
      <c r="E4" s="233"/>
      <c r="F4" s="237">
        <f>'Cover Sheet'!F4</f>
        <v>8</v>
      </c>
      <c r="G4" s="233"/>
      <c r="H4" s="238"/>
      <c r="I4" s="233"/>
      <c r="J4" s="243"/>
      <c r="K4" s="233"/>
      <c r="L4" s="239"/>
      <c r="M4" s="94"/>
    </row>
    <row r="5" spans="1:13" ht="18">
      <c r="A5" s="225"/>
      <c r="B5" s="240" t="s">
        <v>230</v>
      </c>
      <c r="C5" s="240"/>
      <c r="D5" s="232" t="str">
        <f>'Cover Sheet'!D5</f>
        <v>Monthly Period</v>
      </c>
      <c r="E5" s="233"/>
      <c r="F5" s="130">
        <f>'Cover Sheet'!F5</f>
        <v>45852</v>
      </c>
      <c r="G5" s="233"/>
      <c r="H5" s="238"/>
      <c r="I5" s="233"/>
      <c r="J5" s="243"/>
      <c r="K5" s="233"/>
      <c r="L5" s="239"/>
      <c r="M5" s="94"/>
    </row>
    <row r="6" spans="1:13" ht="15" customHeight="1">
      <c r="A6" s="225"/>
      <c r="B6" s="241"/>
      <c r="C6" s="236"/>
      <c r="D6" s="232" t="str">
        <f>'Cover Sheet'!D6</f>
        <v>Interest Period</v>
      </c>
      <c r="E6" s="243" t="str">
        <f>'Cover Sheet'!E6</f>
        <v>from</v>
      </c>
      <c r="F6" s="234">
        <f>'Cover Sheet'!F6</f>
        <v>45824</v>
      </c>
      <c r="G6" s="243" t="str">
        <f>'Cover Sheet'!G6</f>
        <v>to</v>
      </c>
      <c r="H6" s="234">
        <f>'Cover Sheet'!H6</f>
        <v>45852</v>
      </c>
      <c r="I6" s="243" t="str">
        <f>'Cover Sheet'!I6</f>
        <v>=</v>
      </c>
      <c r="J6" s="709" t="str">
        <f>'Cover Sheet'!J6</f>
        <v>28 days</v>
      </c>
      <c r="K6" s="243"/>
      <c r="L6" s="327"/>
      <c r="M6" s="295"/>
    </row>
    <row r="7" spans="1:13">
      <c r="A7" s="225"/>
      <c r="D7" s="602" t="str">
        <f>'Cover Sheet'!D7</f>
        <v>Collection Period</v>
      </c>
      <c r="E7" s="603" t="str">
        <f>'Cover Sheet'!E7</f>
        <v>from</v>
      </c>
      <c r="F7" s="247" t="str">
        <f>'Cover Sheet'!F7</f>
        <v>01.06.2025</v>
      </c>
      <c r="G7" s="603" t="str">
        <f>'Cover Sheet'!G7</f>
        <v>to</v>
      </c>
      <c r="H7" s="247">
        <f>'Cover Sheet'!H7</f>
        <v>45838</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13" ht="31.5" customHeight="1">
      <c r="A17" s="225"/>
      <c r="B17" s="226" t="s">
        <v>172</v>
      </c>
      <c r="D17" s="109"/>
      <c r="F17" s="701" t="s">
        <v>170</v>
      </c>
      <c r="G17" s="701"/>
      <c r="H17" s="713" t="s">
        <v>62</v>
      </c>
      <c r="J17" s="713"/>
      <c r="L17" s="713"/>
      <c r="M17" s="94"/>
    </row>
    <row r="18" spans="1:13" ht="13">
      <c r="A18" s="225"/>
      <c r="B18" s="62"/>
      <c r="D18" s="735"/>
      <c r="F18" s="721"/>
      <c r="G18" s="21"/>
      <c r="M18" s="94"/>
    </row>
    <row r="19" spans="1:13" ht="13">
      <c r="A19" s="225"/>
      <c r="B19" s="736" t="s">
        <v>173</v>
      </c>
      <c r="D19" s="735"/>
      <c r="F19" s="721"/>
      <c r="G19" s="21"/>
      <c r="I19" s="639"/>
      <c r="J19" s="696"/>
      <c r="K19" s="639"/>
      <c r="L19" s="696"/>
      <c r="M19" s="94"/>
    </row>
    <row r="20" spans="1:13" ht="13">
      <c r="A20" s="225"/>
      <c r="B20" s="22" t="s">
        <v>174</v>
      </c>
      <c r="D20" s="735"/>
      <c r="F20" s="711">
        <f>VLOOKUP("GrossDefault_current",calcdata,2,0)</f>
        <v>1713133.53</v>
      </c>
      <c r="G20" s="21"/>
      <c r="I20" s="639"/>
      <c r="K20" s="639"/>
      <c r="L20" s="719"/>
      <c r="M20" s="94"/>
    </row>
    <row r="21" spans="1:13">
      <c r="A21" s="225"/>
      <c r="B21" s="22" t="s">
        <v>82</v>
      </c>
      <c r="D21" s="109"/>
      <c r="F21" s="711">
        <f>VLOOKUP("Recoveries_current",calcdata,2,0)</f>
        <v>2364.61</v>
      </c>
      <c r="J21" s="109"/>
      <c r="M21" s="94"/>
    </row>
    <row r="22" spans="1:13" ht="13">
      <c r="A22" s="225"/>
      <c r="B22" s="22" t="s">
        <v>175</v>
      </c>
      <c r="D22" s="737"/>
      <c r="E22" s="21"/>
      <c r="F22" s="711">
        <f>F20-F21</f>
        <v>1710768.92</v>
      </c>
      <c r="G22" s="21"/>
      <c r="H22" s="696"/>
      <c r="J22" s="109"/>
      <c r="M22" s="94"/>
    </row>
    <row r="23" spans="1:13">
      <c r="A23" s="225"/>
      <c r="B23" s="22" t="s">
        <v>176</v>
      </c>
      <c r="D23" s="738"/>
      <c r="F23" s="739"/>
      <c r="H23" s="841">
        <f>VLOOKUP("default_new",Assets_Daten,3,0)</f>
        <v>61</v>
      </c>
      <c r="J23" s="109"/>
      <c r="M23" s="94"/>
    </row>
    <row r="24" spans="1:13" ht="13">
      <c r="A24" s="225"/>
      <c r="B24" s="62"/>
      <c r="D24" s="738"/>
      <c r="F24" s="739"/>
      <c r="H24" s="740"/>
      <c r="I24" s="639"/>
      <c r="J24" s="696"/>
      <c r="K24" s="639"/>
      <c r="L24" s="696"/>
      <c r="M24" s="94"/>
    </row>
    <row r="25" spans="1:13" ht="13">
      <c r="A25" s="225"/>
      <c r="B25" s="736" t="s">
        <v>177</v>
      </c>
      <c r="D25" s="738"/>
      <c r="F25" s="739"/>
      <c r="H25" s="741"/>
      <c r="I25" s="639"/>
      <c r="J25" s="109"/>
      <c r="K25" s="639"/>
      <c r="L25" s="719"/>
      <c r="M25" s="94"/>
    </row>
    <row r="26" spans="1:13" ht="13">
      <c r="A26" s="225"/>
      <c r="B26" s="22" t="s">
        <v>178</v>
      </c>
      <c r="C26" s="21"/>
      <c r="D26" s="737"/>
      <c r="E26" s="21"/>
      <c r="F26" s="711">
        <f>VLOOKUP("Cum_GrossDefault",calcdata,2,0)</f>
        <v>9510477.3800000008</v>
      </c>
      <c r="G26" s="21"/>
      <c r="H26" s="696"/>
      <c r="J26" s="109"/>
      <c r="M26" s="94"/>
    </row>
    <row r="27" spans="1:13" ht="13">
      <c r="A27" s="225"/>
      <c r="B27" s="22" t="s">
        <v>83</v>
      </c>
      <c r="D27" s="738"/>
      <c r="F27" s="711">
        <f>VLOOKUP("Cum_Recoveries",calcdata,2,0)</f>
        <v>-26998.82</v>
      </c>
      <c r="H27" s="701"/>
      <c r="J27" s="109"/>
      <c r="M27" s="94"/>
    </row>
    <row r="28" spans="1:13">
      <c r="A28" s="225"/>
      <c r="B28" s="22" t="s">
        <v>403</v>
      </c>
      <c r="D28" s="738"/>
      <c r="F28" s="711">
        <f>F26-F27</f>
        <v>9537476.2000000011</v>
      </c>
      <c r="H28" s="109"/>
      <c r="M28" s="94"/>
    </row>
    <row r="29" spans="1:13">
      <c r="A29" s="225"/>
      <c r="B29" s="22" t="s">
        <v>179</v>
      </c>
      <c r="D29" s="109"/>
      <c r="F29" s="109"/>
      <c r="H29" s="841">
        <f>VLOOKUP(F4-1,'3.3 Defaults &amp; Recoveries p.p.'!B21:C101,2,0)+H23</f>
        <v>323</v>
      </c>
      <c r="M29" s="94"/>
    </row>
    <row r="30" spans="1:13">
      <c r="A30" s="225"/>
      <c r="D30" s="109"/>
      <c r="F30" s="109"/>
      <c r="J30" s="109"/>
      <c r="M30" s="94"/>
    </row>
    <row r="31" spans="1:13">
      <c r="A31" s="225"/>
      <c r="D31" s="738"/>
      <c r="F31" s="109"/>
      <c r="M31" s="94"/>
    </row>
    <row r="32" spans="1:13" ht="18">
      <c r="A32" s="225"/>
      <c r="B32" s="226" t="s">
        <v>231</v>
      </c>
      <c r="D32" s="738"/>
      <c r="F32" s="109"/>
      <c r="J32" s="696"/>
      <c r="L32" s="697"/>
      <c r="M32" s="94"/>
    </row>
    <row r="33" spans="1:13">
      <c r="A33" s="225"/>
      <c r="D33" s="738"/>
      <c r="F33" s="109"/>
      <c r="M33" s="94"/>
    </row>
    <row r="34" spans="1:13" ht="13">
      <c r="A34" s="225"/>
      <c r="B34" s="736" t="s">
        <v>232</v>
      </c>
      <c r="D34" s="738"/>
      <c r="M34" s="94"/>
    </row>
    <row r="35" spans="1:13">
      <c r="A35" s="225"/>
      <c r="B35" s="22" t="s">
        <v>314</v>
      </c>
      <c r="D35" s="738"/>
      <c r="F35" s="765">
        <f>VLOOKUP("a_pdl_bop",calcdata,2,0)</f>
        <v>0</v>
      </c>
      <c r="M35" s="94"/>
    </row>
    <row r="36" spans="1:13" ht="13">
      <c r="A36" s="225"/>
      <c r="B36" s="22" t="s">
        <v>315</v>
      </c>
      <c r="D36" s="738"/>
      <c r="F36" s="765">
        <f>VLOOKUP("a_debited_pdl",calcdata,2,0)</f>
        <v>0</v>
      </c>
      <c r="J36" s="696"/>
      <c r="L36" s="696"/>
      <c r="M36" s="94"/>
    </row>
    <row r="37" spans="1:13" ht="13">
      <c r="A37" s="225"/>
      <c r="B37" s="22" t="s">
        <v>316</v>
      </c>
      <c r="D37" s="738"/>
      <c r="F37" s="765">
        <f>VLOOKUP("a_credited_pdl",calcdata,2,0)</f>
        <v>0</v>
      </c>
      <c r="J37" s="696"/>
      <c r="L37" s="696"/>
      <c r="M37" s="94"/>
    </row>
    <row r="38" spans="1:13" ht="13">
      <c r="A38" s="225"/>
      <c r="B38" s="22" t="s">
        <v>317</v>
      </c>
      <c r="D38" s="738"/>
      <c r="F38" s="765">
        <f>VLOOKUP("a_pdl_eop",calcdata,2,0)</f>
        <v>0</v>
      </c>
      <c r="J38" s="701"/>
      <c r="L38" s="701"/>
      <c r="M38" s="94"/>
    </row>
    <row r="39" spans="1:13" ht="13">
      <c r="A39" s="225"/>
      <c r="D39" s="738"/>
      <c r="F39" s="739"/>
      <c r="J39" s="702"/>
      <c r="L39" s="109"/>
      <c r="M39" s="94"/>
    </row>
    <row r="40" spans="1:13" ht="13">
      <c r="A40" s="225"/>
      <c r="B40" s="736" t="s">
        <v>279</v>
      </c>
      <c r="D40" s="738"/>
      <c r="M40" s="94"/>
    </row>
    <row r="41" spans="1:13">
      <c r="A41" s="225"/>
      <c r="B41" s="22" t="s">
        <v>318</v>
      </c>
      <c r="D41" s="738"/>
      <c r="F41" s="765">
        <f>VLOOKUP("b_pdl_bop",calcdata,2,0)</f>
        <v>0</v>
      </c>
      <c r="M41" s="94"/>
    </row>
    <row r="42" spans="1:13" ht="13">
      <c r="A42" s="225"/>
      <c r="B42" s="22" t="s">
        <v>319</v>
      </c>
      <c r="D42" s="738"/>
      <c r="F42" s="765">
        <f>VLOOKUP("b_debited_pdl",calcdata,2,0)</f>
        <v>0</v>
      </c>
      <c r="J42" s="696"/>
      <c r="L42" s="696"/>
      <c r="M42" s="94"/>
    </row>
    <row r="43" spans="1:13" ht="13">
      <c r="A43" s="225"/>
      <c r="B43" s="22" t="s">
        <v>320</v>
      </c>
      <c r="D43" s="738"/>
      <c r="F43" s="765">
        <f>VLOOKUP("b_credited_pdl",calcdata,2,0)</f>
        <v>0</v>
      </c>
      <c r="J43" s="701"/>
      <c r="L43" s="701"/>
      <c r="M43" s="94"/>
    </row>
    <row r="44" spans="1:13" ht="13">
      <c r="A44" s="225"/>
      <c r="B44" s="22" t="s">
        <v>321</v>
      </c>
      <c r="D44" s="738"/>
      <c r="F44" s="765">
        <f>VLOOKUP("b_pdl_eop",calcdata,2,0)</f>
        <v>0</v>
      </c>
      <c r="J44" s="701"/>
      <c r="L44" s="701"/>
      <c r="M44" s="94"/>
    </row>
    <row r="45" spans="1:13" ht="13">
      <c r="A45" s="225"/>
      <c r="D45" s="738"/>
      <c r="F45" s="739"/>
      <c r="J45" s="702"/>
      <c r="L45" s="109"/>
      <c r="M45" s="94"/>
    </row>
    <row r="46" spans="1:13" ht="13">
      <c r="A46" s="225"/>
      <c r="B46" s="736" t="s">
        <v>280</v>
      </c>
      <c r="D46" s="738"/>
      <c r="M46" s="94"/>
    </row>
    <row r="47" spans="1:13">
      <c r="A47" s="225"/>
      <c r="B47" s="22" t="s">
        <v>322</v>
      </c>
      <c r="D47" s="738"/>
      <c r="F47" s="765">
        <f>VLOOKUP("c_pdl_bop",calcdata,2,0)</f>
        <v>0</v>
      </c>
      <c r="M47" s="94"/>
    </row>
    <row r="48" spans="1:13" ht="13">
      <c r="A48" s="225"/>
      <c r="B48" s="22" t="s">
        <v>323</v>
      </c>
      <c r="D48" s="738"/>
      <c r="F48" s="765">
        <f>VLOOKUP("c_debited_pdl",calcdata,2,0)</f>
        <v>0</v>
      </c>
      <c r="J48" s="696"/>
      <c r="L48" s="696"/>
      <c r="M48" s="94"/>
    </row>
    <row r="49" spans="1:13" ht="13">
      <c r="A49" s="225"/>
      <c r="B49" s="22" t="s">
        <v>324</v>
      </c>
      <c r="D49" s="738"/>
      <c r="F49" s="765">
        <f>VLOOKUP("c_credited_pdl",calcdata,2,0)</f>
        <v>0</v>
      </c>
      <c r="J49" s="701"/>
      <c r="L49" s="701"/>
      <c r="M49" s="94"/>
    </row>
    <row r="50" spans="1:13" ht="13">
      <c r="A50" s="225"/>
      <c r="B50" s="22" t="s">
        <v>325</v>
      </c>
      <c r="D50" s="738"/>
      <c r="F50" s="765">
        <f>VLOOKUP("c_pdl_eop",calcdata,2,0)</f>
        <v>0</v>
      </c>
      <c r="J50" s="701"/>
      <c r="L50" s="701"/>
      <c r="M50" s="94"/>
    </row>
    <row r="51" spans="1:13" ht="13">
      <c r="A51" s="225"/>
      <c r="D51" s="738"/>
      <c r="F51" s="739"/>
      <c r="J51" s="702"/>
      <c r="L51" s="109"/>
      <c r="M51" s="94"/>
    </row>
    <row r="52" spans="1:13" ht="13">
      <c r="A52" s="225"/>
      <c r="B52" s="736" t="s">
        <v>281</v>
      </c>
      <c r="D52" s="738"/>
      <c r="M52" s="94"/>
    </row>
    <row r="53" spans="1:13">
      <c r="A53" s="225"/>
      <c r="B53" s="22" t="s">
        <v>326</v>
      </c>
      <c r="D53" s="738"/>
      <c r="F53" s="765">
        <f>VLOOKUP("d_pdl_bop",calcdata,2,0)</f>
        <v>0</v>
      </c>
      <c r="M53" s="94"/>
    </row>
    <row r="54" spans="1:13" ht="13">
      <c r="A54" s="225"/>
      <c r="B54" s="22" t="s">
        <v>327</v>
      </c>
      <c r="D54" s="738"/>
      <c r="F54" s="765">
        <f>VLOOKUP("d_debited_pdl",calcdata,2,0)</f>
        <v>0</v>
      </c>
      <c r="J54" s="696"/>
      <c r="L54" s="696"/>
      <c r="M54" s="94"/>
    </row>
    <row r="55" spans="1:13" ht="13">
      <c r="A55" s="225"/>
      <c r="B55" s="22" t="s">
        <v>328</v>
      </c>
      <c r="D55" s="738"/>
      <c r="F55" s="765">
        <f>VLOOKUP("d_credited_pdl",calcdata,2,0)</f>
        <v>0</v>
      </c>
      <c r="J55" s="701"/>
      <c r="L55" s="701"/>
      <c r="M55" s="94"/>
    </row>
    <row r="56" spans="1:13" ht="13">
      <c r="A56" s="225"/>
      <c r="B56" s="22" t="s">
        <v>329</v>
      </c>
      <c r="D56" s="738"/>
      <c r="F56" s="765">
        <f>VLOOKUP("d_pdl_eop",calcdata,2,0)</f>
        <v>0</v>
      </c>
      <c r="J56" s="701"/>
      <c r="L56" s="701"/>
      <c r="M56" s="94"/>
    </row>
    <row r="57" spans="1:13" ht="13">
      <c r="A57" s="225"/>
      <c r="D57" s="738"/>
      <c r="F57" s="739"/>
      <c r="J57" s="702"/>
      <c r="L57" s="109"/>
      <c r="M57" s="94"/>
    </row>
    <row r="58" spans="1:13" ht="13">
      <c r="A58" s="225"/>
      <c r="B58" s="736" t="s">
        <v>282</v>
      </c>
      <c r="D58" s="738"/>
      <c r="M58" s="94"/>
    </row>
    <row r="59" spans="1:13">
      <c r="A59" s="225"/>
      <c r="B59" s="22" t="s">
        <v>330</v>
      </c>
      <c r="D59" s="738"/>
      <c r="F59" s="765">
        <f>VLOOKUP("e_pdl_bop",calcdata,2,0)</f>
        <v>0</v>
      </c>
      <c r="M59" s="94"/>
    </row>
    <row r="60" spans="1:13" ht="13">
      <c r="A60" s="225"/>
      <c r="B60" s="22" t="s">
        <v>331</v>
      </c>
      <c r="D60" s="738"/>
      <c r="F60" s="765">
        <f>VLOOKUP("e_debited_pdl",calcdata,2,0)</f>
        <v>0</v>
      </c>
      <c r="J60" s="696"/>
      <c r="L60" s="696"/>
      <c r="M60" s="94"/>
    </row>
    <row r="61" spans="1:13" ht="13">
      <c r="A61" s="225"/>
      <c r="B61" s="22" t="s">
        <v>332</v>
      </c>
      <c r="D61" s="738"/>
      <c r="F61" s="765">
        <f>VLOOKUP("e_credited_pdl",calcdata,2,0)</f>
        <v>0</v>
      </c>
      <c r="J61" s="701"/>
      <c r="L61" s="701"/>
      <c r="M61" s="94"/>
    </row>
    <row r="62" spans="1:13" ht="13">
      <c r="A62" s="225"/>
      <c r="B62" s="22" t="s">
        <v>333</v>
      </c>
      <c r="D62" s="738"/>
      <c r="F62" s="765">
        <f>VLOOKUP("e_pdl_eop",calcdata,2,0)</f>
        <v>0</v>
      </c>
      <c r="J62" s="701"/>
      <c r="L62" s="701"/>
      <c r="M62" s="94"/>
    </row>
    <row r="63" spans="1:13" ht="13">
      <c r="A63" s="225"/>
      <c r="D63" s="738"/>
      <c r="F63" s="739"/>
      <c r="J63" s="702"/>
      <c r="L63" s="109"/>
      <c r="M63" s="94"/>
    </row>
    <row r="64" spans="1:13" ht="13">
      <c r="A64" s="225"/>
      <c r="B64" s="736" t="s">
        <v>283</v>
      </c>
      <c r="D64" s="738"/>
      <c r="M64" s="94"/>
    </row>
    <row r="65" spans="1:13">
      <c r="A65" s="225"/>
      <c r="B65" s="22" t="s">
        <v>334</v>
      </c>
      <c r="D65" s="738"/>
      <c r="F65" s="765">
        <f>VLOOKUP("f_pdl_bop",calcdata,2,0)</f>
        <v>0</v>
      </c>
      <c r="M65" s="94"/>
    </row>
    <row r="66" spans="1:13" ht="13">
      <c r="A66" s="225"/>
      <c r="B66" s="22" t="s">
        <v>335</v>
      </c>
      <c r="D66" s="738"/>
      <c r="F66" s="765">
        <f>VLOOKUP("f_debited_pdl",calcdata,2,0)</f>
        <v>1713133.53</v>
      </c>
      <c r="J66" s="696"/>
      <c r="L66" s="696"/>
      <c r="M66" s="94"/>
    </row>
    <row r="67" spans="1:13" ht="13">
      <c r="A67" s="225"/>
      <c r="B67" s="22" t="s">
        <v>336</v>
      </c>
      <c r="D67" s="738"/>
      <c r="F67" s="765">
        <f>VLOOKUP("f_credited_pdl",calcdata,2,0)</f>
        <v>1713133.53</v>
      </c>
      <c r="J67" s="701"/>
      <c r="L67" s="701"/>
      <c r="M67" s="94"/>
    </row>
    <row r="68" spans="1:13" ht="13">
      <c r="A68" s="225"/>
      <c r="B68" s="22" t="s">
        <v>337</v>
      </c>
      <c r="D68" s="738"/>
      <c r="F68" s="765">
        <f>VLOOKUP("f_pdl_eop",calcdata,2,0)</f>
        <v>0</v>
      </c>
      <c r="J68" s="701"/>
      <c r="L68" s="701"/>
      <c r="M68" s="94"/>
    </row>
    <row r="69" spans="1:13" ht="13">
      <c r="A69" s="225"/>
      <c r="D69" s="738"/>
      <c r="F69" s="739"/>
      <c r="J69" s="702"/>
      <c r="L69" s="109"/>
      <c r="M69" s="94"/>
    </row>
    <row r="70" spans="1:13">
      <c r="A70" s="285"/>
      <c r="B70" s="35"/>
      <c r="C70" s="35"/>
      <c r="D70" s="742"/>
      <c r="E70" s="35"/>
      <c r="F70" s="35"/>
      <c r="G70" s="35"/>
      <c r="H70" s="35"/>
      <c r="I70" s="35"/>
      <c r="J70" s="35"/>
      <c r="K70" s="35"/>
      <c r="L70" s="35"/>
      <c r="M70" s="95"/>
    </row>
    <row r="72" spans="1:13">
      <c r="H72" s="252"/>
    </row>
    <row r="73" spans="1:13">
      <c r="H73" s="252"/>
    </row>
    <row r="75" spans="1:13">
      <c r="C75" s="293"/>
      <c r="D75" s="639"/>
      <c r="F75" s="639"/>
      <c r="H75" s="252"/>
    </row>
    <row r="76" spans="1:13">
      <c r="C76" s="293"/>
      <c r="D76" s="639"/>
      <c r="F76" s="639"/>
    </row>
    <row r="78" spans="1:13">
      <c r="C78" s="293"/>
      <c r="D78" s="293"/>
      <c r="E78" s="293"/>
      <c r="F78" s="293"/>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77"/>
      <c r="M1" s="224"/>
    </row>
    <row r="2" spans="1:13" ht="18">
      <c r="A2" s="225"/>
      <c r="B2" s="226" t="str">
        <f>'Cover Sheet'!B2</f>
        <v>SC Germany Consumer 2024-2</v>
      </c>
      <c r="C2" s="226"/>
      <c r="D2" s="227" t="str">
        <f>'Cover Sheet'!D2</f>
        <v>Calculation Date</v>
      </c>
      <c r="E2" s="228"/>
      <c r="F2" s="229">
        <f>'Cover Sheet'!F2</f>
        <v>45848</v>
      </c>
      <c r="G2" s="228"/>
      <c r="H2" s="228"/>
      <c r="I2" s="228"/>
      <c r="J2" s="228"/>
      <c r="K2" s="228"/>
      <c r="L2" s="230"/>
      <c r="M2" s="94"/>
    </row>
    <row r="3" spans="1:13" ht="18">
      <c r="A3" s="225"/>
      <c r="B3" s="226" t="str">
        <f>'Cover Sheet'!B3</f>
        <v>Monthly Investor Report</v>
      </c>
      <c r="C3" s="226"/>
      <c r="D3" s="232" t="str">
        <f>'Cover Sheet'!D3</f>
        <v>Payment Date</v>
      </c>
      <c r="E3" s="233"/>
      <c r="F3" s="234">
        <f>'Cover Sheet'!F3</f>
        <v>45852</v>
      </c>
      <c r="G3" s="233"/>
      <c r="H3" s="233"/>
      <c r="I3" s="233"/>
      <c r="J3" s="233"/>
      <c r="K3" s="233"/>
      <c r="L3" s="235"/>
      <c r="M3" s="94"/>
    </row>
    <row r="4" spans="1:13">
      <c r="A4" s="225"/>
      <c r="B4" s="734"/>
      <c r="C4" s="109"/>
      <c r="D4" s="232" t="str">
        <f>'Cover Sheet'!D4</f>
        <v>Period  No</v>
      </c>
      <c r="E4" s="233"/>
      <c r="F4" s="237">
        <f>'Cover Sheet'!F4</f>
        <v>8</v>
      </c>
      <c r="G4" s="233"/>
      <c r="H4" s="238"/>
      <c r="I4" s="233"/>
      <c r="J4" s="243"/>
      <c r="K4" s="233"/>
      <c r="L4" s="239"/>
      <c r="M4" s="94"/>
    </row>
    <row r="5" spans="1:13" ht="18">
      <c r="A5" s="225"/>
      <c r="B5" s="240" t="s">
        <v>350</v>
      </c>
      <c r="C5" s="240"/>
      <c r="D5" s="232" t="str">
        <f>'Cover Sheet'!D5</f>
        <v>Monthly Period</v>
      </c>
      <c r="E5" s="233"/>
      <c r="F5" s="130">
        <f>'Cover Sheet'!F5</f>
        <v>45852</v>
      </c>
      <c r="G5" s="233"/>
      <c r="H5" s="238"/>
      <c r="I5" s="233"/>
      <c r="J5" s="243"/>
      <c r="K5" s="233"/>
      <c r="L5" s="239"/>
      <c r="M5" s="94"/>
    </row>
    <row r="6" spans="1:13" ht="15" customHeight="1">
      <c r="A6" s="225"/>
      <c r="B6" s="241"/>
      <c r="C6" s="236"/>
      <c r="D6" s="232" t="str">
        <f>'Cover Sheet'!D6</f>
        <v>Interest Period</v>
      </c>
      <c r="E6" s="243" t="str">
        <f>'Cover Sheet'!E6</f>
        <v>from</v>
      </c>
      <c r="F6" s="234">
        <f>'Cover Sheet'!F6</f>
        <v>45824</v>
      </c>
      <c r="G6" s="243" t="str">
        <f>'Cover Sheet'!G6</f>
        <v>to</v>
      </c>
      <c r="H6" s="234">
        <f>'Cover Sheet'!H6</f>
        <v>45852</v>
      </c>
      <c r="I6" s="243" t="str">
        <f>'Cover Sheet'!I6</f>
        <v>=</v>
      </c>
      <c r="J6" s="709" t="str">
        <f>'Cover Sheet'!J6</f>
        <v>28 days</v>
      </c>
      <c r="K6" s="243"/>
      <c r="L6" s="327"/>
      <c r="M6" s="295"/>
    </row>
    <row r="7" spans="1:13">
      <c r="A7" s="225"/>
      <c r="D7" s="602" t="str">
        <f>'Cover Sheet'!D7</f>
        <v>Collection Period</v>
      </c>
      <c r="E7" s="603" t="str">
        <f>'Cover Sheet'!E7</f>
        <v>from</v>
      </c>
      <c r="F7" s="247" t="str">
        <f>'Cover Sheet'!F7</f>
        <v>01.06.2025</v>
      </c>
      <c r="G7" s="603" t="str">
        <f>'Cover Sheet'!G7</f>
        <v>to</v>
      </c>
      <c r="H7" s="247">
        <f>'Cover Sheet'!H7</f>
        <v>45838</v>
      </c>
      <c r="I7" s="248"/>
      <c r="J7" s="248"/>
      <c r="K7" s="248"/>
      <c r="L7" s="249"/>
      <c r="M7" s="94"/>
    </row>
    <row r="8" spans="1:13" ht="13">
      <c r="A8" s="225"/>
      <c r="D8" s="710"/>
      <c r="E8" s="5"/>
      <c r="F8" s="231"/>
      <c r="H8" s="250"/>
      <c r="J8" s="250"/>
      <c r="L8" s="85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L13" s="860"/>
      <c r="M13" s="94"/>
    </row>
    <row r="14" spans="1:13">
      <c r="A14" s="225"/>
      <c r="D14" s="711"/>
      <c r="M14" s="94"/>
    </row>
    <row r="15" spans="1:13">
      <c r="A15" s="225"/>
      <c r="D15" s="711"/>
      <c r="M15" s="94"/>
    </row>
    <row r="16" spans="1:13" ht="13" thickBot="1">
      <c r="A16" s="225"/>
      <c r="D16" s="712"/>
      <c r="L16" s="858"/>
      <c r="M16" s="94"/>
    </row>
    <row r="17" spans="1:23" ht="18.5" thickBot="1">
      <c r="A17" s="225"/>
      <c r="B17" s="226" t="s">
        <v>345</v>
      </c>
      <c r="C17" s="713"/>
      <c r="D17" s="713"/>
      <c r="E17" s="713"/>
      <c r="F17" s="701"/>
      <c r="G17" s="701"/>
      <c r="I17" s="887" t="s">
        <v>409</v>
      </c>
      <c r="J17" s="888"/>
      <c r="K17" s="889"/>
      <c r="L17" s="873">
        <f>IF(AND($F$4&gt;6,$F$4&lt;32),AVERAGE(VLOOKUP($F$4,$B$21:$L$100,11,FALSE),VLOOKUP(($F$4)-1,$B$21:$L$100,11,FALSE),VLOOKUP(($F$4)-2,$B$21:$L$100,11,FALSE)),"n/a")</f>
        <v>2.223977951255251E-3</v>
      </c>
      <c r="M17" s="94"/>
    </row>
    <row r="18" spans="1:23" ht="18">
      <c r="A18" s="225"/>
      <c r="B18" s="226"/>
      <c r="C18" s="713"/>
      <c r="D18" s="713"/>
      <c r="E18" s="713"/>
      <c r="F18" s="701"/>
      <c r="G18" s="701"/>
      <c r="H18" s="713"/>
      <c r="J18" s="713"/>
      <c r="L18" s="857"/>
      <c r="M18" s="94"/>
    </row>
    <row r="19" spans="1:23" ht="13.5" thickBot="1">
      <c r="A19" s="225"/>
      <c r="B19" s="861"/>
      <c r="G19" s="701"/>
      <c r="H19" s="713"/>
      <c r="J19" s="713"/>
      <c r="L19" s="858"/>
      <c r="M19" s="94"/>
    </row>
    <row r="20" spans="1:23" ht="44" thickBot="1">
      <c r="A20" s="225"/>
      <c r="B20" s="714" t="s">
        <v>111</v>
      </c>
      <c r="C20" s="714" t="s">
        <v>313</v>
      </c>
      <c r="D20" s="714" t="s">
        <v>340</v>
      </c>
      <c r="E20" s="714" t="s">
        <v>338</v>
      </c>
      <c r="F20" s="714" t="s">
        <v>339</v>
      </c>
      <c r="G20" s="714" t="s">
        <v>344</v>
      </c>
      <c r="H20" s="714" t="s">
        <v>341</v>
      </c>
      <c r="I20" s="714" t="s">
        <v>342</v>
      </c>
      <c r="J20" s="714" t="s">
        <v>343</v>
      </c>
      <c r="K20" s="714" t="s">
        <v>402</v>
      </c>
      <c r="L20" s="715" t="s">
        <v>406</v>
      </c>
      <c r="M20" s="251"/>
      <c r="O20" s="716"/>
      <c r="Q20" s="717"/>
      <c r="R20" s="718"/>
      <c r="S20" s="718"/>
      <c r="V20" s="639"/>
      <c r="W20" s="719"/>
    </row>
    <row r="21" spans="1:23">
      <c r="A21" s="225"/>
      <c r="B21" s="370">
        <v>1</v>
      </c>
      <c r="C21" s="720">
        <f t="shared" ref="C21:C84" si="0">IF($F$4&gt;=$B21,VLOOKUP(CONCATENATE("defaults_",$B21),defaults,2,0),"")</f>
        <v>0</v>
      </c>
      <c r="D21" s="771">
        <f t="shared" ref="D21:D84" si="1">IF($F$4&gt;=$B21,VLOOKUP(CONCATENATE("defaults_",$B21),defaults,3,0),"")</f>
        <v>0</v>
      </c>
      <c r="E21" s="771">
        <f t="shared" ref="E21:E84" si="2">IF($F$4&gt;=$B21,VLOOKUP(CONCATENATE("defaults_",$B21),defaults,4,0),"")</f>
        <v>0</v>
      </c>
      <c r="F21" s="771">
        <f t="shared" ref="F21:F84" si="3">IF($F$4&gt;=$B21,VLOOKUP(CONCATENATE("defaults_",$B21),defaults,5,0),"")</f>
        <v>1026954012.04</v>
      </c>
      <c r="G21" s="772">
        <f t="shared" ref="G21:G84" si="4">IF($F$4&gt;=$B21,VLOOKUP(CONCATENATE("defaults_",$B21),defaults,6,0),"")</f>
        <v>0</v>
      </c>
      <c r="H21" s="773">
        <f t="shared" ref="H21:H84" si="5">IF($F$4&gt;=$B21,VLOOKUP(CONCATENATE("defaults_",$B21),defaults,7,0),"")</f>
        <v>0</v>
      </c>
      <c r="I21" s="774">
        <f t="shared" ref="I21:I84" si="6">IF($F$4&gt;=$B21,VLOOKUP(CONCATENATE("defaults_",$B21),defaults,8,0),"")</f>
        <v>0</v>
      </c>
      <c r="J21" s="773">
        <f t="shared" ref="J21:J84" si="7">IF($F$4&gt;=$B21,VLOOKUP(CONCATENATE("defaults_",$B21),defaults,9,0),"")</f>
        <v>0</v>
      </c>
      <c r="K21" s="772">
        <f t="shared" ref="K21:K84" si="8">IF($F$4&gt;=$B21,VLOOKUP(CONCATENATE("defaults_",$B21),defaults,10,0),"")</f>
        <v>0</v>
      </c>
      <c r="L21" s="795" t="s">
        <v>228</v>
      </c>
      <c r="M21" s="94"/>
      <c r="Q21" s="717"/>
      <c r="R21" s="718"/>
      <c r="S21" s="717"/>
      <c r="U21" s="109"/>
    </row>
    <row r="22" spans="1:23">
      <c r="A22" s="225"/>
      <c r="B22" s="370">
        <v>2</v>
      </c>
      <c r="C22" s="720">
        <f t="shared" si="0"/>
        <v>1</v>
      </c>
      <c r="D22" s="771">
        <f t="shared" si="1"/>
        <v>41562.89</v>
      </c>
      <c r="E22" s="771">
        <f t="shared" si="2"/>
        <v>41562.89</v>
      </c>
      <c r="F22" s="771">
        <f t="shared" si="3"/>
        <v>1046060613.35</v>
      </c>
      <c r="G22" s="772">
        <f t="shared" si="4"/>
        <v>3.9732774056844763E-5</v>
      </c>
      <c r="H22" s="773">
        <f t="shared" si="5"/>
        <v>0</v>
      </c>
      <c r="I22" s="774">
        <f t="shared" si="6"/>
        <v>0</v>
      </c>
      <c r="J22" s="773">
        <f t="shared" si="7"/>
        <v>41562.89</v>
      </c>
      <c r="K22" s="772">
        <f t="shared" si="8"/>
        <v>3.9732774056844763E-5</v>
      </c>
      <c r="L22" s="722">
        <f>IF($B22&lt;=$F$4,($D22-$H22)/'3.1 Delinquency Data'!C22,"")</f>
        <v>4.1562890443891669E-5</v>
      </c>
      <c r="M22" s="94"/>
      <c r="O22" s="723"/>
      <c r="Q22" s="717"/>
      <c r="R22" s="718"/>
      <c r="S22" s="718"/>
    </row>
    <row r="23" spans="1:23" ht="13">
      <c r="A23" s="225"/>
      <c r="B23" s="370">
        <v>3</v>
      </c>
      <c r="C23" s="720">
        <f t="shared" si="0"/>
        <v>5</v>
      </c>
      <c r="D23" s="771">
        <f t="shared" si="1"/>
        <v>123733.5</v>
      </c>
      <c r="E23" s="771">
        <f t="shared" si="2"/>
        <v>165296.39000000001</v>
      </c>
      <c r="F23" s="771">
        <f t="shared" si="3"/>
        <v>1074007563.9400001</v>
      </c>
      <c r="G23" s="772">
        <f t="shared" si="4"/>
        <v>1.5390616933237387E-4</v>
      </c>
      <c r="H23" s="773">
        <f t="shared" si="5"/>
        <v>-693.79</v>
      </c>
      <c r="I23" s="774">
        <f t="shared" si="6"/>
        <v>-693.79</v>
      </c>
      <c r="J23" s="773">
        <f t="shared" si="7"/>
        <v>165990.18</v>
      </c>
      <c r="K23" s="772">
        <f t="shared" si="8"/>
        <v>1.5455215174748355E-4</v>
      </c>
      <c r="L23" s="722">
        <f>IF($B23&lt;=$F$4,($D23-$H23)/'3.1 Delinquency Data'!C23,"")</f>
        <v>1.2442730573009999E-4</v>
      </c>
      <c r="M23" s="724"/>
      <c r="Q23" s="717"/>
      <c r="R23" s="725"/>
      <c r="S23" s="725"/>
      <c r="V23" s="639"/>
      <c r="W23" s="696"/>
    </row>
    <row r="24" spans="1:23" ht="13">
      <c r="A24" s="225"/>
      <c r="B24" s="370">
        <v>4</v>
      </c>
      <c r="C24" s="720">
        <f t="shared" si="0"/>
        <v>31</v>
      </c>
      <c r="D24" s="771">
        <f t="shared" si="1"/>
        <v>962042.8</v>
      </c>
      <c r="E24" s="771">
        <f t="shared" si="2"/>
        <v>1127339.19</v>
      </c>
      <c r="F24" s="771">
        <f t="shared" si="3"/>
        <v>1097980488.6400001</v>
      </c>
      <c r="G24" s="772">
        <f t="shared" si="4"/>
        <v>1.0267388188257922E-3</v>
      </c>
      <c r="H24" s="773">
        <f t="shared" si="5"/>
        <v>-4650.4399999999996</v>
      </c>
      <c r="I24" s="774">
        <f t="shared" si="6"/>
        <v>-5344.23</v>
      </c>
      <c r="J24" s="773">
        <f t="shared" si="7"/>
        <v>1132683.42</v>
      </c>
      <c r="K24" s="772">
        <f t="shared" si="8"/>
        <v>1.0316061457549071E-3</v>
      </c>
      <c r="L24" s="722">
        <f>IF($B24&lt;=$F$4,($D24-$H24)/'3.1 Delinquency Data'!C24,"")</f>
        <v>9.6669331384570227E-4</v>
      </c>
      <c r="M24" s="251"/>
      <c r="N24" s="21"/>
      <c r="O24" s="696"/>
      <c r="P24" s="21"/>
      <c r="Q24" s="726"/>
      <c r="R24" s="727"/>
      <c r="S24" s="725"/>
      <c r="T24" s="21"/>
      <c r="V24" s="639"/>
      <c r="W24" s="719"/>
    </row>
    <row r="25" spans="1:23">
      <c r="A25" s="225"/>
      <c r="B25" s="370">
        <v>5</v>
      </c>
      <c r="C25" s="720">
        <f t="shared" si="0"/>
        <v>92</v>
      </c>
      <c r="D25" s="771">
        <f t="shared" si="1"/>
        <v>1728516.32</v>
      </c>
      <c r="E25" s="771">
        <f t="shared" si="2"/>
        <v>2855855.51</v>
      </c>
      <c r="F25" s="771">
        <f t="shared" si="3"/>
        <v>1124156931.72</v>
      </c>
      <c r="G25" s="772">
        <f t="shared" si="4"/>
        <v>2.5404420231883813E-3</v>
      </c>
      <c r="H25" s="773">
        <f t="shared" si="5"/>
        <v>-4342.7299999999996</v>
      </c>
      <c r="I25" s="774">
        <f t="shared" si="6"/>
        <v>-9686.9599999999991</v>
      </c>
      <c r="J25" s="773">
        <f t="shared" si="7"/>
        <v>2865542.47</v>
      </c>
      <c r="K25" s="772">
        <f t="shared" si="8"/>
        <v>2.5490591118942957E-3</v>
      </c>
      <c r="L25" s="722">
        <f>IF($B25&lt;=$F$4,($D25-$H25)/'3.1 Delinquency Data'!C25,"")</f>
        <v>1.7328591110486265E-3</v>
      </c>
      <c r="M25" s="94"/>
      <c r="Q25" s="717"/>
      <c r="R25" s="718"/>
      <c r="S25" s="717"/>
      <c r="U25" s="109"/>
    </row>
    <row r="26" spans="1:23">
      <c r="A26" s="225"/>
      <c r="B26" s="370">
        <v>6</v>
      </c>
      <c r="C26" s="720">
        <f t="shared" si="0"/>
        <v>152</v>
      </c>
      <c r="D26" s="771">
        <f t="shared" si="1"/>
        <v>1771348.09</v>
      </c>
      <c r="E26" s="771">
        <f t="shared" si="2"/>
        <v>4627203.5999999996</v>
      </c>
      <c r="F26" s="771">
        <f t="shared" si="3"/>
        <v>1152918303.0599999</v>
      </c>
      <c r="G26" s="772">
        <f t="shared" si="4"/>
        <v>4.0134705015253723E-3</v>
      </c>
      <c r="H26" s="773">
        <f t="shared" si="5"/>
        <v>-7343.86</v>
      </c>
      <c r="I26" s="774">
        <f t="shared" si="6"/>
        <v>-17030.82</v>
      </c>
      <c r="J26" s="773">
        <f t="shared" si="7"/>
        <v>4644234.42</v>
      </c>
      <c r="K26" s="772">
        <f t="shared" si="8"/>
        <v>4.0282424241800813E-3</v>
      </c>
      <c r="L26" s="722">
        <f>IF($B26&lt;=$F$4,($D26-$H26)/'3.1 Delinquency Data'!C26,"")</f>
        <v>1.7786920255766243E-3</v>
      </c>
      <c r="M26" s="94"/>
      <c r="Q26" s="717"/>
      <c r="R26" s="718"/>
      <c r="S26" s="717"/>
      <c r="U26" s="109"/>
    </row>
    <row r="27" spans="1:23">
      <c r="A27" s="225"/>
      <c r="B27" s="370">
        <v>7</v>
      </c>
      <c r="C27" s="720">
        <f t="shared" si="0"/>
        <v>262</v>
      </c>
      <c r="D27" s="771">
        <f t="shared" si="1"/>
        <v>3170140.25</v>
      </c>
      <c r="E27" s="771">
        <f t="shared" si="2"/>
        <v>7797343.8499999996</v>
      </c>
      <c r="F27" s="771">
        <f t="shared" si="3"/>
        <v>1152918303.0599999</v>
      </c>
      <c r="G27" s="772">
        <f t="shared" si="4"/>
        <v>6.7631364939777627E-3</v>
      </c>
      <c r="H27" s="773">
        <f t="shared" si="5"/>
        <v>-12332.61</v>
      </c>
      <c r="I27" s="774">
        <f t="shared" si="6"/>
        <v>-29363.43</v>
      </c>
      <c r="J27" s="773">
        <f t="shared" si="7"/>
        <v>7826707.2800000003</v>
      </c>
      <c r="K27" s="772">
        <f t="shared" si="8"/>
        <v>6.7886052803801163E-3</v>
      </c>
      <c r="L27" s="722">
        <f>IF($B27&lt;=$F$4,($D27-$H27)/'3.1 Delinquency Data'!C27,"")</f>
        <v>3.1824728712023043E-3</v>
      </c>
      <c r="M27" s="94"/>
      <c r="O27" s="723"/>
      <c r="Q27" s="717"/>
      <c r="R27" s="725"/>
      <c r="S27" s="725"/>
    </row>
    <row r="28" spans="1:23">
      <c r="A28" s="225"/>
      <c r="B28" s="370">
        <v>8</v>
      </c>
      <c r="C28" s="720">
        <f t="shared" si="0"/>
        <v>323</v>
      </c>
      <c r="D28" s="771">
        <f t="shared" si="1"/>
        <v>1713133.53</v>
      </c>
      <c r="E28" s="771">
        <f t="shared" si="2"/>
        <v>9510477.3800000008</v>
      </c>
      <c r="F28" s="771">
        <f t="shared" si="3"/>
        <v>1152918303.0599999</v>
      </c>
      <c r="G28" s="772">
        <f t="shared" si="4"/>
        <v>8.2490470961887885E-3</v>
      </c>
      <c r="H28" s="773">
        <f t="shared" si="5"/>
        <v>2364.61</v>
      </c>
      <c r="I28" s="774">
        <f t="shared" si="6"/>
        <v>-26998.82</v>
      </c>
      <c r="J28" s="773">
        <f t="shared" si="7"/>
        <v>9537476.1999999993</v>
      </c>
      <c r="K28" s="772">
        <f t="shared" si="8"/>
        <v>8.27246490465652E-3</v>
      </c>
      <c r="L28" s="722">
        <f>IF($B28&lt;=$F$4,($D28-$H28)/'3.1 Delinquency Data'!C28,"")</f>
        <v>1.7107689569868247E-3</v>
      </c>
      <c r="M28" s="94"/>
      <c r="Q28" s="717"/>
      <c r="R28" s="725"/>
      <c r="S28" s="725"/>
    </row>
    <row r="29" spans="1:23" ht="13">
      <c r="A29" s="225"/>
      <c r="B29" s="370">
        <v>9</v>
      </c>
      <c r="C29" s="720" t="str">
        <f t="shared" si="0"/>
        <v/>
      </c>
      <c r="D29" s="771" t="str">
        <f t="shared" si="1"/>
        <v/>
      </c>
      <c r="E29" s="771" t="str">
        <f t="shared" si="2"/>
        <v/>
      </c>
      <c r="F29" s="771" t="str">
        <f t="shared" si="3"/>
        <v/>
      </c>
      <c r="G29" s="772" t="str">
        <f t="shared" si="4"/>
        <v/>
      </c>
      <c r="H29" s="773" t="str">
        <f t="shared" si="5"/>
        <v/>
      </c>
      <c r="I29" s="774" t="str">
        <f t="shared" si="6"/>
        <v/>
      </c>
      <c r="J29" s="773" t="str">
        <f t="shared" si="7"/>
        <v/>
      </c>
      <c r="K29" s="772" t="str">
        <f t="shared" si="8"/>
        <v/>
      </c>
      <c r="L29" s="722" t="str">
        <f>IF($B29&lt;=$F$4,($D29-$H29)/'3.1 Delinquency Data'!C29,"")</f>
        <v/>
      </c>
      <c r="M29" s="251"/>
      <c r="N29" s="21"/>
      <c r="O29" s="696"/>
      <c r="P29" s="21"/>
      <c r="Q29" s="728"/>
      <c r="R29" s="727"/>
      <c r="S29" s="725"/>
      <c r="T29" s="21"/>
      <c r="U29" s="696"/>
    </row>
    <row r="30" spans="1:23">
      <c r="A30" s="225"/>
      <c r="B30" s="370">
        <v>10</v>
      </c>
      <c r="C30" s="720" t="str">
        <f t="shared" si="0"/>
        <v/>
      </c>
      <c r="D30" s="771" t="str">
        <f t="shared" si="1"/>
        <v/>
      </c>
      <c r="E30" s="771" t="str">
        <f t="shared" si="2"/>
        <v/>
      </c>
      <c r="F30" s="771" t="str">
        <f t="shared" si="3"/>
        <v/>
      </c>
      <c r="G30" s="772" t="str">
        <f t="shared" si="4"/>
        <v/>
      </c>
      <c r="H30" s="773" t="str">
        <f t="shared" si="5"/>
        <v/>
      </c>
      <c r="I30" s="774" t="str">
        <f t="shared" si="6"/>
        <v/>
      </c>
      <c r="J30" s="773" t="str">
        <f t="shared" si="7"/>
        <v/>
      </c>
      <c r="K30" s="772" t="str">
        <f t="shared" si="8"/>
        <v/>
      </c>
      <c r="L30" s="722" t="str">
        <f>IF($B30&lt;=$F$4,($D30-$H30)/'3.1 Delinquency Data'!C30,"")</f>
        <v/>
      </c>
      <c r="M30" s="94"/>
      <c r="Q30" s="717"/>
      <c r="R30" s="718"/>
      <c r="S30" s="717"/>
      <c r="U30" s="109"/>
    </row>
    <row r="31" spans="1:23">
      <c r="A31" s="225"/>
      <c r="B31" s="370">
        <v>11</v>
      </c>
      <c r="C31" s="720" t="str">
        <f t="shared" si="0"/>
        <v/>
      </c>
      <c r="D31" s="771" t="str">
        <f t="shared" si="1"/>
        <v/>
      </c>
      <c r="E31" s="771" t="str">
        <f t="shared" si="2"/>
        <v/>
      </c>
      <c r="F31" s="771" t="str">
        <f t="shared" si="3"/>
        <v/>
      </c>
      <c r="G31" s="772" t="str">
        <f t="shared" si="4"/>
        <v/>
      </c>
      <c r="H31" s="773" t="str">
        <f t="shared" si="5"/>
        <v/>
      </c>
      <c r="I31" s="774" t="str">
        <f t="shared" si="6"/>
        <v/>
      </c>
      <c r="J31" s="773" t="str">
        <f t="shared" si="7"/>
        <v/>
      </c>
      <c r="K31" s="772" t="str">
        <f t="shared" si="8"/>
        <v/>
      </c>
      <c r="L31" s="722" t="str">
        <f>IF($B31&lt;=$F$4,($D31-$H31)/'3.1 Delinquency Data'!C31,"")</f>
        <v/>
      </c>
      <c r="M31" s="94"/>
      <c r="Q31" s="717"/>
      <c r="R31" s="718"/>
      <c r="S31" s="717"/>
      <c r="U31" s="109"/>
    </row>
    <row r="32" spans="1:23">
      <c r="A32" s="225"/>
      <c r="B32" s="370">
        <v>12</v>
      </c>
      <c r="C32" s="720" t="str">
        <f t="shared" si="0"/>
        <v/>
      </c>
      <c r="D32" s="771" t="str">
        <f t="shared" si="1"/>
        <v/>
      </c>
      <c r="E32" s="771" t="str">
        <f t="shared" si="2"/>
        <v/>
      </c>
      <c r="F32" s="771" t="str">
        <f t="shared" si="3"/>
        <v/>
      </c>
      <c r="G32" s="772" t="str">
        <f t="shared" si="4"/>
        <v/>
      </c>
      <c r="H32" s="773" t="str">
        <f t="shared" si="5"/>
        <v/>
      </c>
      <c r="I32" s="774" t="str">
        <f t="shared" si="6"/>
        <v/>
      </c>
      <c r="J32" s="773" t="str">
        <f t="shared" si="7"/>
        <v/>
      </c>
      <c r="K32" s="772" t="str">
        <f t="shared" si="8"/>
        <v/>
      </c>
      <c r="L32" s="722" t="str">
        <f>IF($B32&lt;=$F$4,($D32-$H32)/'3.1 Delinquency Data'!C32,"")</f>
        <v/>
      </c>
      <c r="M32" s="94"/>
      <c r="O32" s="723"/>
      <c r="Q32" s="717"/>
      <c r="R32" s="725"/>
      <c r="S32" s="725"/>
    </row>
    <row r="33" spans="1:23" ht="13">
      <c r="A33" s="225"/>
      <c r="B33" s="370">
        <v>13</v>
      </c>
      <c r="C33" s="720" t="str">
        <f t="shared" si="0"/>
        <v/>
      </c>
      <c r="D33" s="771" t="str">
        <f t="shared" si="1"/>
        <v/>
      </c>
      <c r="E33" s="771" t="str">
        <f t="shared" si="2"/>
        <v/>
      </c>
      <c r="F33" s="771" t="str">
        <f t="shared" si="3"/>
        <v/>
      </c>
      <c r="G33" s="772" t="str">
        <f t="shared" si="4"/>
        <v/>
      </c>
      <c r="H33" s="773" t="str">
        <f t="shared" si="5"/>
        <v/>
      </c>
      <c r="I33" s="774" t="str">
        <f t="shared" si="6"/>
        <v/>
      </c>
      <c r="J33" s="773" t="str">
        <f t="shared" si="7"/>
        <v/>
      </c>
      <c r="K33" s="772" t="str">
        <f t="shared" si="8"/>
        <v/>
      </c>
      <c r="L33" s="722" t="str">
        <f>IF($B33&lt;=$F$4,($D33-$H33)/'3.1 Delinquency Data'!C33,"")</f>
        <v/>
      </c>
      <c r="M33" s="94"/>
      <c r="Q33" s="717"/>
      <c r="R33" s="725"/>
      <c r="S33" s="725"/>
      <c r="V33" s="729"/>
      <c r="W33" s="696"/>
    </row>
    <row r="34" spans="1:23" ht="13">
      <c r="A34" s="225"/>
      <c r="B34" s="370">
        <v>14</v>
      </c>
      <c r="C34" s="720" t="str">
        <f t="shared" si="0"/>
        <v/>
      </c>
      <c r="D34" s="771" t="str">
        <f t="shared" si="1"/>
        <v/>
      </c>
      <c r="E34" s="771" t="str">
        <f t="shared" si="2"/>
        <v/>
      </c>
      <c r="F34" s="771" t="str">
        <f t="shared" si="3"/>
        <v/>
      </c>
      <c r="G34" s="772" t="str">
        <f t="shared" si="4"/>
        <v/>
      </c>
      <c r="H34" s="773" t="str">
        <f t="shared" si="5"/>
        <v/>
      </c>
      <c r="I34" s="774" t="str">
        <f t="shared" si="6"/>
        <v/>
      </c>
      <c r="J34" s="773" t="str">
        <f t="shared" si="7"/>
        <v/>
      </c>
      <c r="K34" s="772" t="str">
        <f t="shared" si="8"/>
        <v/>
      </c>
      <c r="L34" s="722" t="str">
        <f>IF($B34&lt;=$F$4,($D34-$H34)/'3.1 Delinquency Data'!C34,"")</f>
        <v/>
      </c>
      <c r="M34" s="251"/>
      <c r="N34" s="21"/>
      <c r="O34" s="696"/>
      <c r="P34" s="21"/>
      <c r="Q34" s="728"/>
      <c r="R34" s="727"/>
      <c r="S34" s="725"/>
    </row>
    <row r="35" spans="1:23">
      <c r="A35" s="225"/>
      <c r="B35" s="370">
        <v>15</v>
      </c>
      <c r="C35" s="720" t="str">
        <f t="shared" si="0"/>
        <v/>
      </c>
      <c r="D35" s="771" t="str">
        <f t="shared" si="1"/>
        <v/>
      </c>
      <c r="E35" s="771" t="str">
        <f t="shared" si="2"/>
        <v/>
      </c>
      <c r="F35" s="771" t="str">
        <f t="shared" si="3"/>
        <v/>
      </c>
      <c r="G35" s="772" t="str">
        <f t="shared" si="4"/>
        <v/>
      </c>
      <c r="H35" s="773" t="str">
        <f t="shared" si="5"/>
        <v/>
      </c>
      <c r="I35" s="774" t="str">
        <f t="shared" si="6"/>
        <v/>
      </c>
      <c r="J35" s="773" t="str">
        <f t="shared" si="7"/>
        <v/>
      </c>
      <c r="K35" s="772" t="str">
        <f t="shared" si="8"/>
        <v/>
      </c>
      <c r="L35" s="722" t="str">
        <f>IF($B35&lt;=$F$4,($D35-$H35)/'3.1 Delinquency Data'!C35,"")</f>
        <v/>
      </c>
      <c r="M35" s="94"/>
      <c r="Q35" s="717"/>
      <c r="R35" s="718"/>
      <c r="S35" s="717"/>
      <c r="U35" s="109"/>
    </row>
    <row r="36" spans="1:23">
      <c r="A36" s="225"/>
      <c r="B36" s="370">
        <v>16</v>
      </c>
      <c r="C36" s="720" t="str">
        <f t="shared" si="0"/>
        <v/>
      </c>
      <c r="D36" s="771" t="str">
        <f t="shared" si="1"/>
        <v/>
      </c>
      <c r="E36" s="771" t="str">
        <f t="shared" si="2"/>
        <v/>
      </c>
      <c r="F36" s="771" t="str">
        <f t="shared" si="3"/>
        <v/>
      </c>
      <c r="G36" s="772" t="str">
        <f t="shared" si="4"/>
        <v/>
      </c>
      <c r="H36" s="773" t="str">
        <f t="shared" si="5"/>
        <v/>
      </c>
      <c r="I36" s="774" t="str">
        <f t="shared" si="6"/>
        <v/>
      </c>
      <c r="J36" s="773" t="str">
        <f t="shared" si="7"/>
        <v/>
      </c>
      <c r="K36" s="772" t="str">
        <f t="shared" si="8"/>
        <v/>
      </c>
      <c r="L36" s="722" t="str">
        <f>IF($B36&lt;=$F$4,($D36-$H36)/'3.1 Delinquency Data'!C36,"")</f>
        <v/>
      </c>
      <c r="M36" s="94"/>
      <c r="Q36" s="717"/>
      <c r="R36" s="718"/>
      <c r="S36" s="717"/>
      <c r="U36" s="109"/>
    </row>
    <row r="37" spans="1:23">
      <c r="A37" s="225"/>
      <c r="B37" s="370">
        <v>17</v>
      </c>
      <c r="C37" s="720" t="str">
        <f t="shared" si="0"/>
        <v/>
      </c>
      <c r="D37" s="771" t="str">
        <f t="shared" si="1"/>
        <v/>
      </c>
      <c r="E37" s="771" t="str">
        <f t="shared" si="2"/>
        <v/>
      </c>
      <c r="F37" s="771" t="str">
        <f t="shared" si="3"/>
        <v/>
      </c>
      <c r="G37" s="772" t="str">
        <f t="shared" si="4"/>
        <v/>
      </c>
      <c r="H37" s="773" t="str">
        <f t="shared" si="5"/>
        <v/>
      </c>
      <c r="I37" s="774" t="str">
        <f t="shared" si="6"/>
        <v/>
      </c>
      <c r="J37" s="773" t="str">
        <f t="shared" si="7"/>
        <v/>
      </c>
      <c r="K37" s="772" t="str">
        <f t="shared" si="8"/>
        <v/>
      </c>
      <c r="L37" s="722" t="str">
        <f>IF($B37&lt;=$F$4,($D37-$H37)/'3.1 Delinquency Data'!C37,"")</f>
        <v/>
      </c>
      <c r="M37" s="94"/>
      <c r="O37" s="723"/>
      <c r="Q37" s="717"/>
      <c r="R37" s="725"/>
      <c r="S37" s="725"/>
    </row>
    <row r="38" spans="1:23" ht="13">
      <c r="A38" s="225"/>
      <c r="B38" s="370">
        <v>18</v>
      </c>
      <c r="C38" s="720" t="str">
        <f t="shared" si="0"/>
        <v/>
      </c>
      <c r="D38" s="771" t="str">
        <f t="shared" si="1"/>
        <v/>
      </c>
      <c r="E38" s="771" t="str">
        <f t="shared" si="2"/>
        <v/>
      </c>
      <c r="F38" s="771" t="str">
        <f t="shared" si="3"/>
        <v/>
      </c>
      <c r="G38" s="772" t="str">
        <f t="shared" si="4"/>
        <v/>
      </c>
      <c r="H38" s="773" t="str">
        <f t="shared" si="5"/>
        <v/>
      </c>
      <c r="I38" s="774" t="str">
        <f t="shared" si="6"/>
        <v/>
      </c>
      <c r="J38" s="773" t="str">
        <f t="shared" si="7"/>
        <v/>
      </c>
      <c r="K38" s="772" t="str">
        <f t="shared" si="8"/>
        <v/>
      </c>
      <c r="L38" s="722" t="str">
        <f>IF($B38&lt;=$F$4,($D38-$H38)/'3.1 Delinquency Data'!C38,"")</f>
        <v/>
      </c>
      <c r="M38" s="94"/>
      <c r="Q38" s="717"/>
      <c r="R38" s="725"/>
      <c r="S38" s="725"/>
      <c r="W38" s="697"/>
    </row>
    <row r="39" spans="1:23" ht="13">
      <c r="A39" s="225"/>
      <c r="B39" s="370">
        <v>19</v>
      </c>
      <c r="C39" s="720" t="str">
        <f t="shared" si="0"/>
        <v/>
      </c>
      <c r="D39" s="771" t="str">
        <f t="shared" si="1"/>
        <v/>
      </c>
      <c r="E39" s="771" t="str">
        <f t="shared" si="2"/>
        <v/>
      </c>
      <c r="F39" s="771" t="str">
        <f t="shared" si="3"/>
        <v/>
      </c>
      <c r="G39" s="772" t="str">
        <f t="shared" si="4"/>
        <v/>
      </c>
      <c r="H39" s="773" t="str">
        <f t="shared" si="5"/>
        <v/>
      </c>
      <c r="I39" s="774" t="str">
        <f t="shared" si="6"/>
        <v/>
      </c>
      <c r="J39" s="773" t="str">
        <f t="shared" si="7"/>
        <v/>
      </c>
      <c r="K39" s="772" t="str">
        <f t="shared" si="8"/>
        <v/>
      </c>
      <c r="L39" s="722" t="str">
        <f>IF($B39&lt;=$F$4,($D39-$H39)/'3.1 Delinquency Data'!C39,"")</f>
        <v/>
      </c>
      <c r="M39" s="251"/>
      <c r="O39" s="716"/>
      <c r="Q39" s="717"/>
      <c r="R39" s="718"/>
      <c r="S39" s="718"/>
    </row>
    <row r="40" spans="1:23">
      <c r="A40" s="225"/>
      <c r="B40" s="370">
        <v>20</v>
      </c>
      <c r="C40" s="720" t="str">
        <f t="shared" si="0"/>
        <v/>
      </c>
      <c r="D40" s="771" t="str">
        <f t="shared" si="1"/>
        <v/>
      </c>
      <c r="E40" s="771" t="str">
        <f t="shared" si="2"/>
        <v/>
      </c>
      <c r="F40" s="771" t="str">
        <f t="shared" si="3"/>
        <v/>
      </c>
      <c r="G40" s="772" t="str">
        <f t="shared" si="4"/>
        <v/>
      </c>
      <c r="H40" s="773" t="str">
        <f t="shared" si="5"/>
        <v/>
      </c>
      <c r="I40" s="774" t="str">
        <f t="shared" si="6"/>
        <v/>
      </c>
      <c r="J40" s="773" t="str">
        <f t="shared" si="7"/>
        <v/>
      </c>
      <c r="K40" s="772" t="str">
        <f t="shared" si="8"/>
        <v/>
      </c>
      <c r="L40" s="722" t="str">
        <f>IF($B40&lt;=$F$4,($D40-$H40)/'3.1 Delinquency Data'!C40,"")</f>
        <v/>
      </c>
      <c r="M40" s="94"/>
      <c r="Q40" s="717"/>
      <c r="R40" s="718"/>
      <c r="S40" s="717"/>
      <c r="U40" s="109"/>
    </row>
    <row r="41" spans="1:23">
      <c r="A41" s="225"/>
      <c r="B41" s="370">
        <v>21</v>
      </c>
      <c r="C41" s="720" t="str">
        <f t="shared" si="0"/>
        <v/>
      </c>
      <c r="D41" s="771" t="str">
        <f t="shared" si="1"/>
        <v/>
      </c>
      <c r="E41" s="771" t="str">
        <f t="shared" si="2"/>
        <v/>
      </c>
      <c r="F41" s="771" t="str">
        <f t="shared" si="3"/>
        <v/>
      </c>
      <c r="G41" s="772" t="str">
        <f t="shared" si="4"/>
        <v/>
      </c>
      <c r="H41" s="773" t="str">
        <f t="shared" si="5"/>
        <v/>
      </c>
      <c r="I41" s="774" t="str">
        <f t="shared" si="6"/>
        <v/>
      </c>
      <c r="J41" s="773" t="str">
        <f t="shared" si="7"/>
        <v/>
      </c>
      <c r="K41" s="772" t="str">
        <f t="shared" si="8"/>
        <v/>
      </c>
      <c r="L41" s="722" t="str">
        <f>IF($B41&lt;=$F$4,($D41-$H41)/'3.1 Delinquency Data'!C41,"")</f>
        <v/>
      </c>
      <c r="M41" s="94"/>
      <c r="Q41" s="717"/>
      <c r="R41" s="718"/>
      <c r="S41" s="717"/>
      <c r="U41" s="109"/>
    </row>
    <row r="42" spans="1:23" ht="13">
      <c r="A42" s="225"/>
      <c r="B42" s="370">
        <v>22</v>
      </c>
      <c r="C42" s="720" t="str">
        <f t="shared" si="0"/>
        <v/>
      </c>
      <c r="D42" s="771" t="str">
        <f t="shared" si="1"/>
        <v/>
      </c>
      <c r="E42" s="771" t="str">
        <f t="shared" si="2"/>
        <v/>
      </c>
      <c r="F42" s="771" t="str">
        <f t="shared" si="3"/>
        <v/>
      </c>
      <c r="G42" s="772" t="str">
        <f t="shared" si="4"/>
        <v/>
      </c>
      <c r="H42" s="773" t="str">
        <f t="shared" si="5"/>
        <v/>
      </c>
      <c r="I42" s="774" t="str">
        <f t="shared" si="6"/>
        <v/>
      </c>
      <c r="J42" s="773" t="str">
        <f t="shared" si="7"/>
        <v/>
      </c>
      <c r="K42" s="772" t="str">
        <f t="shared" si="8"/>
        <v/>
      </c>
      <c r="L42" s="722" t="str">
        <f>IF($B42&lt;=$F$4,($D42-$H42)/'3.1 Delinquency Data'!C42,"")</f>
        <v/>
      </c>
      <c r="M42" s="94"/>
      <c r="O42" s="723"/>
      <c r="Q42" s="717"/>
      <c r="R42" s="718"/>
      <c r="S42" s="718"/>
      <c r="W42" s="696"/>
    </row>
    <row r="43" spans="1:23" ht="13">
      <c r="A43" s="225"/>
      <c r="B43" s="370">
        <v>23</v>
      </c>
      <c r="C43" s="720" t="str">
        <f t="shared" si="0"/>
        <v/>
      </c>
      <c r="D43" s="771" t="str">
        <f t="shared" si="1"/>
        <v/>
      </c>
      <c r="E43" s="771" t="str">
        <f t="shared" si="2"/>
        <v/>
      </c>
      <c r="F43" s="771" t="str">
        <f t="shared" si="3"/>
        <v/>
      </c>
      <c r="G43" s="772" t="str">
        <f t="shared" si="4"/>
        <v/>
      </c>
      <c r="H43" s="773" t="str">
        <f t="shared" si="5"/>
        <v/>
      </c>
      <c r="I43" s="774" t="str">
        <f t="shared" si="6"/>
        <v/>
      </c>
      <c r="J43" s="773" t="str">
        <f t="shared" si="7"/>
        <v/>
      </c>
      <c r="K43" s="772" t="str">
        <f t="shared" si="8"/>
        <v/>
      </c>
      <c r="L43" s="722" t="str">
        <f>IF($B43&lt;=$F$4,($D43-$H43)/'3.1 Delinquency Data'!C43,"")</f>
        <v/>
      </c>
      <c r="M43" s="94"/>
      <c r="Q43" s="717"/>
      <c r="R43" s="718"/>
      <c r="S43" s="718"/>
      <c r="W43" s="701"/>
    </row>
    <row r="44" spans="1:23" ht="13">
      <c r="A44" s="225"/>
      <c r="B44" s="370">
        <v>24</v>
      </c>
      <c r="C44" s="720" t="str">
        <f t="shared" si="0"/>
        <v/>
      </c>
      <c r="D44" s="771" t="str">
        <f t="shared" si="1"/>
        <v/>
      </c>
      <c r="E44" s="771" t="str">
        <f t="shared" si="2"/>
        <v/>
      </c>
      <c r="F44" s="771" t="str">
        <f t="shared" si="3"/>
        <v/>
      </c>
      <c r="G44" s="772" t="str">
        <f t="shared" si="4"/>
        <v/>
      </c>
      <c r="H44" s="773" t="str">
        <f t="shared" si="5"/>
        <v/>
      </c>
      <c r="I44" s="774" t="str">
        <f t="shared" si="6"/>
        <v/>
      </c>
      <c r="J44" s="773" t="str">
        <f t="shared" si="7"/>
        <v/>
      </c>
      <c r="K44" s="772" t="str">
        <f t="shared" si="8"/>
        <v/>
      </c>
      <c r="L44" s="722" t="str">
        <f>IF($B44&lt;=$F$4,($D44-$H44)/'3.1 Delinquency Data'!C44,"")</f>
        <v/>
      </c>
      <c r="M44" s="251"/>
      <c r="O44" s="716"/>
      <c r="Q44" s="717"/>
      <c r="R44" s="718"/>
      <c r="S44" s="718"/>
      <c r="W44" s="109"/>
    </row>
    <row r="45" spans="1:23">
      <c r="A45" s="225"/>
      <c r="B45" s="370">
        <v>25</v>
      </c>
      <c r="C45" s="720" t="str">
        <f t="shared" si="0"/>
        <v/>
      </c>
      <c r="D45" s="771" t="str">
        <f t="shared" si="1"/>
        <v/>
      </c>
      <c r="E45" s="771" t="str">
        <f t="shared" si="2"/>
        <v/>
      </c>
      <c r="F45" s="771" t="str">
        <f t="shared" si="3"/>
        <v/>
      </c>
      <c r="G45" s="772" t="str">
        <f t="shared" si="4"/>
        <v/>
      </c>
      <c r="H45" s="773" t="str">
        <f t="shared" si="5"/>
        <v/>
      </c>
      <c r="I45" s="774" t="str">
        <f t="shared" si="6"/>
        <v/>
      </c>
      <c r="J45" s="773" t="str">
        <f t="shared" si="7"/>
        <v/>
      </c>
      <c r="K45" s="772" t="str">
        <f t="shared" si="8"/>
        <v/>
      </c>
      <c r="L45" s="722" t="str">
        <f>IF($B45&lt;=$F$4,($D45-$H45)/'3.1 Delinquency Data'!C45,"")</f>
        <v/>
      </c>
      <c r="M45" s="94"/>
      <c r="Q45" s="717"/>
      <c r="R45" s="718"/>
      <c r="S45" s="717"/>
      <c r="U45" s="109"/>
    </row>
    <row r="46" spans="1:23">
      <c r="A46" s="225"/>
      <c r="B46" s="370">
        <v>26</v>
      </c>
      <c r="C46" s="720" t="str">
        <f t="shared" si="0"/>
        <v/>
      </c>
      <c r="D46" s="771" t="str">
        <f t="shared" si="1"/>
        <v/>
      </c>
      <c r="E46" s="771" t="str">
        <f t="shared" si="2"/>
        <v/>
      </c>
      <c r="F46" s="771" t="str">
        <f t="shared" si="3"/>
        <v/>
      </c>
      <c r="G46" s="772" t="str">
        <f t="shared" si="4"/>
        <v/>
      </c>
      <c r="H46" s="773" t="str">
        <f t="shared" si="5"/>
        <v/>
      </c>
      <c r="I46" s="774" t="str">
        <f t="shared" si="6"/>
        <v/>
      </c>
      <c r="J46" s="773" t="str">
        <f t="shared" si="7"/>
        <v/>
      </c>
      <c r="K46" s="772" t="str">
        <f t="shared" si="8"/>
        <v/>
      </c>
      <c r="L46" s="722" t="str">
        <f>IF($B46&lt;=$F$4,($D46-$H46)/'3.1 Delinquency Data'!C46,"")</f>
        <v/>
      </c>
      <c r="M46" s="94"/>
      <c r="Q46" s="717"/>
      <c r="R46" s="718"/>
      <c r="S46" s="717"/>
      <c r="U46" s="109"/>
    </row>
    <row r="47" spans="1:23">
      <c r="A47" s="225"/>
      <c r="B47" s="370">
        <v>27</v>
      </c>
      <c r="C47" s="720" t="str">
        <f t="shared" si="0"/>
        <v/>
      </c>
      <c r="D47" s="771" t="str">
        <f t="shared" si="1"/>
        <v/>
      </c>
      <c r="E47" s="771" t="str">
        <f t="shared" si="2"/>
        <v/>
      </c>
      <c r="F47" s="771" t="str">
        <f t="shared" si="3"/>
        <v/>
      </c>
      <c r="G47" s="772" t="str">
        <f t="shared" si="4"/>
        <v/>
      </c>
      <c r="H47" s="773" t="str">
        <f t="shared" si="5"/>
        <v/>
      </c>
      <c r="I47" s="774" t="str">
        <f t="shared" si="6"/>
        <v/>
      </c>
      <c r="J47" s="773" t="str">
        <f t="shared" si="7"/>
        <v/>
      </c>
      <c r="K47" s="772" t="str">
        <f t="shared" si="8"/>
        <v/>
      </c>
      <c r="L47" s="722" t="str">
        <f>IF($B47&lt;=$F$4,($D47-$H47)/'3.1 Delinquency Data'!C47,"")</f>
        <v/>
      </c>
      <c r="M47" s="94"/>
      <c r="O47" s="723"/>
      <c r="Q47" s="717"/>
      <c r="R47" s="718"/>
      <c r="S47" s="718"/>
    </row>
    <row r="48" spans="1:23" ht="12.75" customHeight="1">
      <c r="A48" s="225"/>
      <c r="B48" s="370">
        <v>28</v>
      </c>
      <c r="C48" s="720" t="str">
        <f t="shared" si="0"/>
        <v/>
      </c>
      <c r="D48" s="771" t="str">
        <f t="shared" si="1"/>
        <v/>
      </c>
      <c r="E48" s="771" t="str">
        <f t="shared" si="2"/>
        <v/>
      </c>
      <c r="F48" s="771" t="str">
        <f t="shared" si="3"/>
        <v/>
      </c>
      <c r="G48" s="772" t="str">
        <f t="shared" si="4"/>
        <v/>
      </c>
      <c r="H48" s="773" t="str">
        <f t="shared" si="5"/>
        <v/>
      </c>
      <c r="I48" s="774" t="str">
        <f t="shared" si="6"/>
        <v/>
      </c>
      <c r="J48" s="773" t="str">
        <f t="shared" si="7"/>
        <v/>
      </c>
      <c r="K48" s="772" t="str">
        <f t="shared" si="8"/>
        <v/>
      </c>
      <c r="L48" s="722" t="str">
        <f>IF($B48&lt;=$F$4,($D48-$H48)/'3.1 Delinquency Data'!C48,"")</f>
        <v/>
      </c>
      <c r="M48" s="94"/>
      <c r="Q48" s="730"/>
      <c r="S48" s="731"/>
    </row>
    <row r="49" spans="1:19" ht="12.75" customHeight="1">
      <c r="A49" s="225"/>
      <c r="B49" s="370">
        <v>29</v>
      </c>
      <c r="C49" s="720" t="str">
        <f t="shared" si="0"/>
        <v/>
      </c>
      <c r="D49" s="771" t="str">
        <f t="shared" si="1"/>
        <v/>
      </c>
      <c r="E49" s="771" t="str">
        <f t="shared" si="2"/>
        <v/>
      </c>
      <c r="F49" s="771" t="str">
        <f t="shared" si="3"/>
        <v/>
      </c>
      <c r="G49" s="772" t="str">
        <f t="shared" si="4"/>
        <v/>
      </c>
      <c r="H49" s="773" t="str">
        <f t="shared" si="5"/>
        <v/>
      </c>
      <c r="I49" s="774" t="str">
        <f t="shared" si="6"/>
        <v/>
      </c>
      <c r="J49" s="773" t="str">
        <f t="shared" si="7"/>
        <v/>
      </c>
      <c r="K49" s="772" t="str">
        <f t="shared" si="8"/>
        <v/>
      </c>
      <c r="L49" s="722" t="str">
        <f>IF($B49&lt;=$F$4,($D49-$H49)/'3.1 Delinquency Data'!C49,"")</f>
        <v/>
      </c>
      <c r="M49" s="94"/>
      <c r="Q49" s="109"/>
      <c r="S49" s="109"/>
    </row>
    <row r="50" spans="1:19">
      <c r="A50" s="225"/>
      <c r="B50" s="370">
        <v>30</v>
      </c>
      <c r="C50" s="720" t="str">
        <f t="shared" si="0"/>
        <v/>
      </c>
      <c r="D50" s="771" t="str">
        <f t="shared" si="1"/>
        <v/>
      </c>
      <c r="E50" s="771" t="str">
        <f t="shared" si="2"/>
        <v/>
      </c>
      <c r="F50" s="771" t="str">
        <f t="shared" si="3"/>
        <v/>
      </c>
      <c r="G50" s="772" t="str">
        <f t="shared" si="4"/>
        <v/>
      </c>
      <c r="H50" s="773" t="str">
        <f t="shared" si="5"/>
        <v/>
      </c>
      <c r="I50" s="774" t="str">
        <f t="shared" si="6"/>
        <v/>
      </c>
      <c r="J50" s="773" t="str">
        <f t="shared" si="7"/>
        <v/>
      </c>
      <c r="K50" s="772" t="str">
        <f t="shared" si="8"/>
        <v/>
      </c>
      <c r="L50" s="722" t="str">
        <f>IF($B50&lt;=$F$4,($D50-$H50)/'3.1 Delinquency Data'!C50,"")</f>
        <v/>
      </c>
      <c r="M50" s="94"/>
    </row>
    <row r="51" spans="1:19">
      <c r="A51" s="225"/>
      <c r="B51" s="370">
        <v>31</v>
      </c>
      <c r="C51" s="720" t="str">
        <f t="shared" si="0"/>
        <v/>
      </c>
      <c r="D51" s="771" t="str">
        <f t="shared" si="1"/>
        <v/>
      </c>
      <c r="E51" s="771" t="str">
        <f t="shared" si="2"/>
        <v/>
      </c>
      <c r="F51" s="771" t="str">
        <f t="shared" si="3"/>
        <v/>
      </c>
      <c r="G51" s="772" t="str">
        <f t="shared" si="4"/>
        <v/>
      </c>
      <c r="H51" s="773" t="str">
        <f t="shared" si="5"/>
        <v/>
      </c>
      <c r="I51" s="774" t="str">
        <f t="shared" si="6"/>
        <v/>
      </c>
      <c r="J51" s="773" t="str">
        <f t="shared" si="7"/>
        <v/>
      </c>
      <c r="K51" s="772" t="str">
        <f t="shared" si="8"/>
        <v/>
      </c>
      <c r="L51" s="722" t="str">
        <f>IF($B51&lt;=$F$4,($D51-$H51)/'3.1 Delinquency Data'!C51,"")</f>
        <v/>
      </c>
      <c r="M51" s="94"/>
      <c r="S51" s="252"/>
    </row>
    <row r="52" spans="1:19">
      <c r="A52" s="225"/>
      <c r="B52" s="370">
        <v>32</v>
      </c>
      <c r="C52" s="720" t="str">
        <f t="shared" si="0"/>
        <v/>
      </c>
      <c r="D52" s="771" t="str">
        <f t="shared" si="1"/>
        <v/>
      </c>
      <c r="E52" s="771" t="str">
        <f t="shared" si="2"/>
        <v/>
      </c>
      <c r="F52" s="771" t="str">
        <f t="shared" si="3"/>
        <v/>
      </c>
      <c r="G52" s="772" t="str">
        <f t="shared" si="4"/>
        <v/>
      </c>
      <c r="H52" s="773" t="str">
        <f t="shared" si="5"/>
        <v/>
      </c>
      <c r="I52" s="774" t="str">
        <f t="shared" si="6"/>
        <v/>
      </c>
      <c r="J52" s="773" t="str">
        <f t="shared" si="7"/>
        <v/>
      </c>
      <c r="K52" s="772" t="str">
        <f t="shared" si="8"/>
        <v/>
      </c>
      <c r="L52" s="722" t="str">
        <f>IF($B52&lt;=$F$4,($D52-$H52)/'3.1 Delinquency Data'!C52,"")</f>
        <v/>
      </c>
      <c r="M52" s="94"/>
      <c r="S52" s="252"/>
    </row>
    <row r="53" spans="1:19">
      <c r="A53" s="225"/>
      <c r="B53" s="370">
        <v>33</v>
      </c>
      <c r="C53" s="720" t="str">
        <f t="shared" si="0"/>
        <v/>
      </c>
      <c r="D53" s="771" t="str">
        <f t="shared" si="1"/>
        <v/>
      </c>
      <c r="E53" s="771" t="str">
        <f t="shared" si="2"/>
        <v/>
      </c>
      <c r="F53" s="771" t="str">
        <f t="shared" si="3"/>
        <v/>
      </c>
      <c r="G53" s="772" t="str">
        <f t="shared" si="4"/>
        <v/>
      </c>
      <c r="H53" s="773" t="str">
        <f t="shared" si="5"/>
        <v/>
      </c>
      <c r="I53" s="774" t="str">
        <f t="shared" si="6"/>
        <v/>
      </c>
      <c r="J53" s="773" t="str">
        <f t="shared" si="7"/>
        <v/>
      </c>
      <c r="K53" s="772" t="str">
        <f t="shared" si="8"/>
        <v/>
      </c>
      <c r="L53" s="722" t="str">
        <f>IF($B53&lt;=$F$4,($D53-$H53)/'3.1 Delinquency Data'!C53,"")</f>
        <v/>
      </c>
      <c r="M53" s="94"/>
    </row>
    <row r="54" spans="1:19">
      <c r="A54" s="225"/>
      <c r="B54" s="370">
        <v>34</v>
      </c>
      <c r="C54" s="720" t="str">
        <f t="shared" si="0"/>
        <v/>
      </c>
      <c r="D54" s="771" t="str">
        <f t="shared" si="1"/>
        <v/>
      </c>
      <c r="E54" s="771" t="str">
        <f t="shared" si="2"/>
        <v/>
      </c>
      <c r="F54" s="771" t="str">
        <f t="shared" si="3"/>
        <v/>
      </c>
      <c r="G54" s="772" t="str">
        <f t="shared" si="4"/>
        <v/>
      </c>
      <c r="H54" s="773" t="str">
        <f t="shared" si="5"/>
        <v/>
      </c>
      <c r="I54" s="774" t="str">
        <f t="shared" si="6"/>
        <v/>
      </c>
      <c r="J54" s="773" t="str">
        <f t="shared" si="7"/>
        <v/>
      </c>
      <c r="K54" s="772" t="str">
        <f t="shared" si="8"/>
        <v/>
      </c>
      <c r="L54" s="722" t="str">
        <f>IF($B54&lt;=$F$4,($D54-$H54)/'3.1 Delinquency Data'!C54,"")</f>
        <v/>
      </c>
      <c r="M54" s="94"/>
      <c r="N54" s="293"/>
      <c r="O54" s="639"/>
      <c r="Q54" s="639"/>
      <c r="S54" s="252"/>
    </row>
    <row r="55" spans="1:19">
      <c r="A55" s="225"/>
      <c r="B55" s="370">
        <v>35</v>
      </c>
      <c r="C55" s="720" t="str">
        <f t="shared" si="0"/>
        <v/>
      </c>
      <c r="D55" s="771" t="str">
        <f t="shared" si="1"/>
        <v/>
      </c>
      <c r="E55" s="771" t="str">
        <f t="shared" si="2"/>
        <v/>
      </c>
      <c r="F55" s="771" t="str">
        <f t="shared" si="3"/>
        <v/>
      </c>
      <c r="G55" s="772" t="str">
        <f t="shared" si="4"/>
        <v/>
      </c>
      <c r="H55" s="773" t="str">
        <f t="shared" si="5"/>
        <v/>
      </c>
      <c r="I55" s="774" t="str">
        <f t="shared" si="6"/>
        <v/>
      </c>
      <c r="J55" s="773" t="str">
        <f t="shared" si="7"/>
        <v/>
      </c>
      <c r="K55" s="772" t="str">
        <f t="shared" si="8"/>
        <v/>
      </c>
      <c r="L55" s="722" t="str">
        <f>IF($B55&lt;=$F$4,($D55-$H55)/'3.1 Delinquency Data'!C55,"")</f>
        <v/>
      </c>
      <c r="M55" s="94"/>
      <c r="N55" s="293"/>
      <c r="O55" s="639"/>
      <c r="Q55" s="639"/>
    </row>
    <row r="56" spans="1:19">
      <c r="A56" s="225"/>
      <c r="B56" s="370">
        <v>36</v>
      </c>
      <c r="C56" s="720" t="str">
        <f t="shared" si="0"/>
        <v/>
      </c>
      <c r="D56" s="771" t="str">
        <f t="shared" si="1"/>
        <v/>
      </c>
      <c r="E56" s="771" t="str">
        <f t="shared" si="2"/>
        <v/>
      </c>
      <c r="F56" s="771" t="str">
        <f t="shared" si="3"/>
        <v/>
      </c>
      <c r="G56" s="772" t="str">
        <f t="shared" si="4"/>
        <v/>
      </c>
      <c r="H56" s="773" t="str">
        <f t="shared" si="5"/>
        <v/>
      </c>
      <c r="I56" s="774" t="str">
        <f t="shared" si="6"/>
        <v/>
      </c>
      <c r="J56" s="773" t="str">
        <f t="shared" si="7"/>
        <v/>
      </c>
      <c r="K56" s="772" t="str">
        <f t="shared" si="8"/>
        <v/>
      </c>
      <c r="L56" s="722" t="str">
        <f>IF($B56&lt;=$F$4,($D56-$H56)/'3.1 Delinquency Data'!C56,"")</f>
        <v/>
      </c>
      <c r="M56" s="94"/>
    </row>
    <row r="57" spans="1:19">
      <c r="A57" s="225"/>
      <c r="B57" s="370">
        <v>37</v>
      </c>
      <c r="C57" s="720" t="str">
        <f t="shared" si="0"/>
        <v/>
      </c>
      <c r="D57" s="771" t="str">
        <f t="shared" si="1"/>
        <v/>
      </c>
      <c r="E57" s="771" t="str">
        <f t="shared" si="2"/>
        <v/>
      </c>
      <c r="F57" s="771" t="str">
        <f t="shared" si="3"/>
        <v/>
      </c>
      <c r="G57" s="772" t="str">
        <f t="shared" si="4"/>
        <v/>
      </c>
      <c r="H57" s="773" t="str">
        <f t="shared" si="5"/>
        <v/>
      </c>
      <c r="I57" s="774" t="str">
        <f t="shared" si="6"/>
        <v/>
      </c>
      <c r="J57" s="773" t="str">
        <f t="shared" si="7"/>
        <v/>
      </c>
      <c r="K57" s="772" t="str">
        <f t="shared" si="8"/>
        <v/>
      </c>
      <c r="L57" s="722" t="str">
        <f>IF($B57&lt;=$F$4,($D57-$H57)/'3.1 Delinquency Data'!C57,"")</f>
        <v/>
      </c>
      <c r="M57" s="94"/>
      <c r="N57" s="293"/>
      <c r="O57" s="293"/>
      <c r="P57" s="293"/>
      <c r="Q57" s="293"/>
    </row>
    <row r="58" spans="1:19">
      <c r="A58" s="225"/>
      <c r="B58" s="370">
        <v>38</v>
      </c>
      <c r="C58" s="720" t="str">
        <f t="shared" si="0"/>
        <v/>
      </c>
      <c r="D58" s="771" t="str">
        <f t="shared" si="1"/>
        <v/>
      </c>
      <c r="E58" s="771" t="str">
        <f t="shared" si="2"/>
        <v/>
      </c>
      <c r="F58" s="771" t="str">
        <f t="shared" si="3"/>
        <v/>
      </c>
      <c r="G58" s="772" t="str">
        <f t="shared" si="4"/>
        <v/>
      </c>
      <c r="H58" s="773" t="str">
        <f t="shared" si="5"/>
        <v/>
      </c>
      <c r="I58" s="774" t="str">
        <f t="shared" si="6"/>
        <v/>
      </c>
      <c r="J58" s="773" t="str">
        <f t="shared" si="7"/>
        <v/>
      </c>
      <c r="K58" s="772" t="str">
        <f t="shared" si="8"/>
        <v/>
      </c>
      <c r="L58" s="722" t="str">
        <f>IF($B58&lt;=$F$4,($D58-$H58)/'3.1 Delinquency Data'!C58,"")</f>
        <v/>
      </c>
      <c r="M58" s="94"/>
    </row>
    <row r="59" spans="1:19">
      <c r="A59" s="225"/>
      <c r="B59" s="370">
        <v>39</v>
      </c>
      <c r="C59" s="720" t="str">
        <f t="shared" si="0"/>
        <v/>
      </c>
      <c r="D59" s="771" t="str">
        <f t="shared" si="1"/>
        <v/>
      </c>
      <c r="E59" s="771" t="str">
        <f t="shared" si="2"/>
        <v/>
      </c>
      <c r="F59" s="771" t="str">
        <f t="shared" si="3"/>
        <v/>
      </c>
      <c r="G59" s="772" t="str">
        <f t="shared" si="4"/>
        <v/>
      </c>
      <c r="H59" s="773" t="str">
        <f t="shared" si="5"/>
        <v/>
      </c>
      <c r="I59" s="774" t="str">
        <f t="shared" si="6"/>
        <v/>
      </c>
      <c r="J59" s="773" t="str">
        <f t="shared" si="7"/>
        <v/>
      </c>
      <c r="K59" s="772" t="str">
        <f t="shared" si="8"/>
        <v/>
      </c>
      <c r="L59" s="722" t="str">
        <f>IF($B59&lt;=$F$4,($D59-$H59)/'3.1 Delinquency Data'!C59,"")</f>
        <v/>
      </c>
      <c r="M59" s="94"/>
    </row>
    <row r="60" spans="1:19">
      <c r="A60" s="225"/>
      <c r="B60" s="370">
        <v>40</v>
      </c>
      <c r="C60" s="720" t="str">
        <f t="shared" si="0"/>
        <v/>
      </c>
      <c r="D60" s="771" t="str">
        <f t="shared" si="1"/>
        <v/>
      </c>
      <c r="E60" s="771" t="str">
        <f t="shared" si="2"/>
        <v/>
      </c>
      <c r="F60" s="771" t="str">
        <f t="shared" si="3"/>
        <v/>
      </c>
      <c r="G60" s="772" t="str">
        <f t="shared" si="4"/>
        <v/>
      </c>
      <c r="H60" s="773" t="str">
        <f t="shared" si="5"/>
        <v/>
      </c>
      <c r="I60" s="774" t="str">
        <f t="shared" si="6"/>
        <v/>
      </c>
      <c r="J60" s="773" t="str">
        <f t="shared" si="7"/>
        <v/>
      </c>
      <c r="K60" s="772" t="str">
        <f t="shared" si="8"/>
        <v/>
      </c>
      <c r="L60" s="722" t="str">
        <f>IF($B60&lt;=$F$4,($D60-$H60)/'3.1 Delinquency Data'!C60,"")</f>
        <v/>
      </c>
      <c r="M60" s="94"/>
    </row>
    <row r="61" spans="1:19">
      <c r="A61" s="225"/>
      <c r="B61" s="370">
        <v>41</v>
      </c>
      <c r="C61" s="720" t="str">
        <f t="shared" si="0"/>
        <v/>
      </c>
      <c r="D61" s="771" t="str">
        <f t="shared" si="1"/>
        <v/>
      </c>
      <c r="E61" s="771" t="str">
        <f t="shared" si="2"/>
        <v/>
      </c>
      <c r="F61" s="771" t="str">
        <f t="shared" si="3"/>
        <v/>
      </c>
      <c r="G61" s="772" t="str">
        <f t="shared" si="4"/>
        <v/>
      </c>
      <c r="H61" s="773" t="str">
        <f t="shared" si="5"/>
        <v/>
      </c>
      <c r="I61" s="774" t="str">
        <f t="shared" si="6"/>
        <v/>
      </c>
      <c r="J61" s="773" t="str">
        <f t="shared" si="7"/>
        <v/>
      </c>
      <c r="K61" s="772" t="str">
        <f t="shared" si="8"/>
        <v/>
      </c>
      <c r="L61" s="722" t="str">
        <f>IF($B61&lt;=$F$4,($D61-$H61)/'3.1 Delinquency Data'!C61,"")</f>
        <v/>
      </c>
      <c r="M61" s="94"/>
    </row>
    <row r="62" spans="1:19">
      <c r="A62" s="225"/>
      <c r="B62" s="370">
        <v>42</v>
      </c>
      <c r="C62" s="720" t="str">
        <f t="shared" si="0"/>
        <v/>
      </c>
      <c r="D62" s="771" t="str">
        <f t="shared" si="1"/>
        <v/>
      </c>
      <c r="E62" s="771" t="str">
        <f t="shared" si="2"/>
        <v/>
      </c>
      <c r="F62" s="771" t="str">
        <f t="shared" si="3"/>
        <v/>
      </c>
      <c r="G62" s="772" t="str">
        <f t="shared" si="4"/>
        <v/>
      </c>
      <c r="H62" s="773" t="str">
        <f t="shared" si="5"/>
        <v/>
      </c>
      <c r="I62" s="774" t="str">
        <f t="shared" si="6"/>
        <v/>
      </c>
      <c r="J62" s="773" t="str">
        <f t="shared" si="7"/>
        <v/>
      </c>
      <c r="K62" s="772" t="str">
        <f t="shared" si="8"/>
        <v/>
      </c>
      <c r="L62" s="722" t="str">
        <f>IF($B62&lt;=$F$4,($D62-$H62)/'3.1 Delinquency Data'!C62,"")</f>
        <v/>
      </c>
      <c r="M62" s="94"/>
    </row>
    <row r="63" spans="1:19">
      <c r="A63" s="225"/>
      <c r="B63" s="370">
        <v>43</v>
      </c>
      <c r="C63" s="720" t="str">
        <f t="shared" si="0"/>
        <v/>
      </c>
      <c r="D63" s="771" t="str">
        <f t="shared" si="1"/>
        <v/>
      </c>
      <c r="E63" s="771" t="str">
        <f t="shared" si="2"/>
        <v/>
      </c>
      <c r="F63" s="771" t="str">
        <f t="shared" si="3"/>
        <v/>
      </c>
      <c r="G63" s="772" t="str">
        <f t="shared" si="4"/>
        <v/>
      </c>
      <c r="H63" s="773" t="str">
        <f t="shared" si="5"/>
        <v/>
      </c>
      <c r="I63" s="774" t="str">
        <f t="shared" si="6"/>
        <v/>
      </c>
      <c r="J63" s="773" t="str">
        <f t="shared" si="7"/>
        <v/>
      </c>
      <c r="K63" s="772" t="str">
        <f t="shared" si="8"/>
        <v/>
      </c>
      <c r="L63" s="722" t="str">
        <f>IF($B63&lt;=$F$4,($D63-$H63)/'3.1 Delinquency Data'!C63,"")</f>
        <v/>
      </c>
      <c r="M63" s="94"/>
    </row>
    <row r="64" spans="1:19">
      <c r="A64" s="225"/>
      <c r="B64" s="370">
        <v>44</v>
      </c>
      <c r="C64" s="720" t="str">
        <f t="shared" si="0"/>
        <v/>
      </c>
      <c r="D64" s="771" t="str">
        <f t="shared" si="1"/>
        <v/>
      </c>
      <c r="E64" s="771" t="str">
        <f t="shared" si="2"/>
        <v/>
      </c>
      <c r="F64" s="771" t="str">
        <f t="shared" si="3"/>
        <v/>
      </c>
      <c r="G64" s="772" t="str">
        <f t="shared" si="4"/>
        <v/>
      </c>
      <c r="H64" s="773" t="str">
        <f t="shared" si="5"/>
        <v/>
      </c>
      <c r="I64" s="774" t="str">
        <f t="shared" si="6"/>
        <v/>
      </c>
      <c r="J64" s="773" t="str">
        <f t="shared" si="7"/>
        <v/>
      </c>
      <c r="K64" s="772" t="str">
        <f t="shared" si="8"/>
        <v/>
      </c>
      <c r="L64" s="722" t="str">
        <f>IF($B64&lt;=$F$4,($D64-$H64)/'3.1 Delinquency Data'!C64,"")</f>
        <v/>
      </c>
      <c r="M64" s="94"/>
    </row>
    <row r="65" spans="1:13">
      <c r="A65" s="225"/>
      <c r="B65" s="370">
        <v>45</v>
      </c>
      <c r="C65" s="720" t="str">
        <f t="shared" si="0"/>
        <v/>
      </c>
      <c r="D65" s="771" t="str">
        <f t="shared" si="1"/>
        <v/>
      </c>
      <c r="E65" s="771" t="str">
        <f t="shared" si="2"/>
        <v/>
      </c>
      <c r="F65" s="771" t="str">
        <f t="shared" si="3"/>
        <v/>
      </c>
      <c r="G65" s="772" t="str">
        <f t="shared" si="4"/>
        <v/>
      </c>
      <c r="H65" s="773" t="str">
        <f t="shared" si="5"/>
        <v/>
      </c>
      <c r="I65" s="774" t="str">
        <f t="shared" si="6"/>
        <v/>
      </c>
      <c r="J65" s="773" t="str">
        <f t="shared" si="7"/>
        <v/>
      </c>
      <c r="K65" s="772" t="str">
        <f t="shared" si="8"/>
        <v/>
      </c>
      <c r="L65" s="722" t="str">
        <f>IF($B65&lt;=$F$4,($D65-$H65)/'3.1 Delinquency Data'!C65,"")</f>
        <v/>
      </c>
      <c r="M65" s="94"/>
    </row>
    <row r="66" spans="1:13">
      <c r="A66" s="225"/>
      <c r="B66" s="370">
        <v>46</v>
      </c>
      <c r="C66" s="720" t="str">
        <f t="shared" si="0"/>
        <v/>
      </c>
      <c r="D66" s="771" t="str">
        <f t="shared" si="1"/>
        <v/>
      </c>
      <c r="E66" s="771" t="str">
        <f t="shared" si="2"/>
        <v/>
      </c>
      <c r="F66" s="771" t="str">
        <f t="shared" si="3"/>
        <v/>
      </c>
      <c r="G66" s="772" t="str">
        <f t="shared" si="4"/>
        <v/>
      </c>
      <c r="H66" s="773" t="str">
        <f t="shared" si="5"/>
        <v/>
      </c>
      <c r="I66" s="774" t="str">
        <f t="shared" si="6"/>
        <v/>
      </c>
      <c r="J66" s="773" t="str">
        <f t="shared" si="7"/>
        <v/>
      </c>
      <c r="K66" s="772" t="str">
        <f t="shared" si="8"/>
        <v/>
      </c>
      <c r="L66" s="722" t="str">
        <f>IF($B66&lt;=$F$4,($D66-$H66)/'3.1 Delinquency Data'!C66,"")</f>
        <v/>
      </c>
      <c r="M66" s="94"/>
    </row>
    <row r="67" spans="1:13">
      <c r="A67" s="225"/>
      <c r="B67" s="370">
        <v>47</v>
      </c>
      <c r="C67" s="720" t="str">
        <f t="shared" si="0"/>
        <v/>
      </c>
      <c r="D67" s="771" t="str">
        <f t="shared" si="1"/>
        <v/>
      </c>
      <c r="E67" s="771" t="str">
        <f t="shared" si="2"/>
        <v/>
      </c>
      <c r="F67" s="771" t="str">
        <f t="shared" si="3"/>
        <v/>
      </c>
      <c r="G67" s="772" t="str">
        <f t="shared" si="4"/>
        <v/>
      </c>
      <c r="H67" s="773" t="str">
        <f t="shared" si="5"/>
        <v/>
      </c>
      <c r="I67" s="774" t="str">
        <f t="shared" si="6"/>
        <v/>
      </c>
      <c r="J67" s="773" t="str">
        <f t="shared" si="7"/>
        <v/>
      </c>
      <c r="K67" s="772" t="str">
        <f t="shared" si="8"/>
        <v/>
      </c>
      <c r="L67" s="722" t="str">
        <f>IF($B67&lt;=$F$4,($D67-$H67)/'3.1 Delinquency Data'!C67,"")</f>
        <v/>
      </c>
      <c r="M67" s="94"/>
    </row>
    <row r="68" spans="1:13">
      <c r="A68" s="225"/>
      <c r="B68" s="370">
        <v>48</v>
      </c>
      <c r="C68" s="720" t="str">
        <f t="shared" si="0"/>
        <v/>
      </c>
      <c r="D68" s="771" t="str">
        <f t="shared" si="1"/>
        <v/>
      </c>
      <c r="E68" s="771" t="str">
        <f t="shared" si="2"/>
        <v/>
      </c>
      <c r="F68" s="771" t="str">
        <f t="shared" si="3"/>
        <v/>
      </c>
      <c r="G68" s="772" t="str">
        <f t="shared" si="4"/>
        <v/>
      </c>
      <c r="H68" s="773" t="str">
        <f t="shared" si="5"/>
        <v/>
      </c>
      <c r="I68" s="774" t="str">
        <f t="shared" si="6"/>
        <v/>
      </c>
      <c r="J68" s="773" t="str">
        <f t="shared" si="7"/>
        <v/>
      </c>
      <c r="K68" s="772" t="str">
        <f t="shared" si="8"/>
        <v/>
      </c>
      <c r="L68" s="722" t="str">
        <f>IF($B68&lt;=$F$4,($D68-$H68)/'3.1 Delinquency Data'!C68,"")</f>
        <v/>
      </c>
      <c r="M68" s="94"/>
    </row>
    <row r="69" spans="1:13">
      <c r="A69" s="225"/>
      <c r="B69" s="370">
        <v>49</v>
      </c>
      <c r="C69" s="720" t="str">
        <f t="shared" si="0"/>
        <v/>
      </c>
      <c r="D69" s="771" t="str">
        <f t="shared" si="1"/>
        <v/>
      </c>
      <c r="E69" s="771" t="str">
        <f t="shared" si="2"/>
        <v/>
      </c>
      <c r="F69" s="771" t="str">
        <f t="shared" si="3"/>
        <v/>
      </c>
      <c r="G69" s="772" t="str">
        <f t="shared" si="4"/>
        <v/>
      </c>
      <c r="H69" s="773" t="str">
        <f t="shared" si="5"/>
        <v/>
      </c>
      <c r="I69" s="774" t="str">
        <f t="shared" si="6"/>
        <v/>
      </c>
      <c r="J69" s="773" t="str">
        <f t="shared" si="7"/>
        <v/>
      </c>
      <c r="K69" s="772" t="str">
        <f t="shared" si="8"/>
        <v/>
      </c>
      <c r="L69" s="722" t="str">
        <f>IF($B69&lt;=$F$4,($D69-$H69)/'3.1 Delinquency Data'!C69,"")</f>
        <v/>
      </c>
      <c r="M69" s="94"/>
    </row>
    <row r="70" spans="1:13">
      <c r="A70" s="225"/>
      <c r="B70" s="370">
        <v>50</v>
      </c>
      <c r="C70" s="720" t="str">
        <f t="shared" si="0"/>
        <v/>
      </c>
      <c r="D70" s="771" t="str">
        <f t="shared" si="1"/>
        <v/>
      </c>
      <c r="E70" s="771" t="str">
        <f t="shared" si="2"/>
        <v/>
      </c>
      <c r="F70" s="771" t="str">
        <f t="shared" si="3"/>
        <v/>
      </c>
      <c r="G70" s="772" t="str">
        <f t="shared" si="4"/>
        <v/>
      </c>
      <c r="H70" s="773" t="str">
        <f t="shared" si="5"/>
        <v/>
      </c>
      <c r="I70" s="774" t="str">
        <f t="shared" si="6"/>
        <v/>
      </c>
      <c r="J70" s="773" t="str">
        <f t="shared" si="7"/>
        <v/>
      </c>
      <c r="K70" s="772" t="str">
        <f t="shared" si="8"/>
        <v/>
      </c>
      <c r="L70" s="722" t="str">
        <f>IF($B70&lt;=$F$4,($D70-$H70)/'3.1 Delinquency Data'!C70,"")</f>
        <v/>
      </c>
      <c r="M70" s="94"/>
    </row>
    <row r="71" spans="1:13">
      <c r="A71" s="225"/>
      <c r="B71" s="370">
        <v>51</v>
      </c>
      <c r="C71" s="720" t="str">
        <f t="shared" si="0"/>
        <v/>
      </c>
      <c r="D71" s="771" t="str">
        <f t="shared" si="1"/>
        <v/>
      </c>
      <c r="E71" s="771" t="str">
        <f t="shared" si="2"/>
        <v/>
      </c>
      <c r="F71" s="771" t="str">
        <f t="shared" si="3"/>
        <v/>
      </c>
      <c r="G71" s="772" t="str">
        <f t="shared" si="4"/>
        <v/>
      </c>
      <c r="H71" s="773" t="str">
        <f t="shared" si="5"/>
        <v/>
      </c>
      <c r="I71" s="774" t="str">
        <f t="shared" si="6"/>
        <v/>
      </c>
      <c r="J71" s="773" t="str">
        <f t="shared" si="7"/>
        <v/>
      </c>
      <c r="K71" s="772" t="str">
        <f t="shared" si="8"/>
        <v/>
      </c>
      <c r="L71" s="722" t="str">
        <f>IF($B71&lt;=$F$4,($D71-$H71)/'3.1 Delinquency Data'!C71,"")</f>
        <v/>
      </c>
      <c r="M71" s="94"/>
    </row>
    <row r="72" spans="1:13">
      <c r="A72" s="225"/>
      <c r="B72" s="370">
        <v>52</v>
      </c>
      <c r="C72" s="720" t="str">
        <f t="shared" si="0"/>
        <v/>
      </c>
      <c r="D72" s="771" t="str">
        <f t="shared" si="1"/>
        <v/>
      </c>
      <c r="E72" s="771" t="str">
        <f t="shared" si="2"/>
        <v/>
      </c>
      <c r="F72" s="771" t="str">
        <f t="shared" si="3"/>
        <v/>
      </c>
      <c r="G72" s="772" t="str">
        <f t="shared" si="4"/>
        <v/>
      </c>
      <c r="H72" s="773" t="str">
        <f t="shared" si="5"/>
        <v/>
      </c>
      <c r="I72" s="774" t="str">
        <f t="shared" si="6"/>
        <v/>
      </c>
      <c r="J72" s="773" t="str">
        <f t="shared" si="7"/>
        <v/>
      </c>
      <c r="K72" s="772" t="str">
        <f t="shared" si="8"/>
        <v/>
      </c>
      <c r="L72" s="722" t="str">
        <f>IF($B72&lt;=$F$4,($D72-$H72)/'3.1 Delinquency Data'!C72,"")</f>
        <v/>
      </c>
      <c r="M72" s="94"/>
    </row>
    <row r="73" spans="1:13">
      <c r="A73" s="225"/>
      <c r="B73" s="370">
        <v>53</v>
      </c>
      <c r="C73" s="720" t="str">
        <f t="shared" si="0"/>
        <v/>
      </c>
      <c r="D73" s="771" t="str">
        <f t="shared" si="1"/>
        <v/>
      </c>
      <c r="E73" s="771" t="str">
        <f t="shared" si="2"/>
        <v/>
      </c>
      <c r="F73" s="771" t="str">
        <f t="shared" si="3"/>
        <v/>
      </c>
      <c r="G73" s="772" t="str">
        <f t="shared" si="4"/>
        <v/>
      </c>
      <c r="H73" s="773" t="str">
        <f t="shared" si="5"/>
        <v/>
      </c>
      <c r="I73" s="774" t="str">
        <f t="shared" si="6"/>
        <v/>
      </c>
      <c r="J73" s="773" t="str">
        <f t="shared" si="7"/>
        <v/>
      </c>
      <c r="K73" s="772" t="str">
        <f t="shared" si="8"/>
        <v/>
      </c>
      <c r="L73" s="722" t="str">
        <f>IF($B73&lt;=$F$4,($D73-$H73)/'3.1 Delinquency Data'!C73,"")</f>
        <v/>
      </c>
      <c r="M73" s="94"/>
    </row>
    <row r="74" spans="1:13">
      <c r="A74" s="225"/>
      <c r="B74" s="370">
        <v>54</v>
      </c>
      <c r="C74" s="720" t="str">
        <f t="shared" si="0"/>
        <v/>
      </c>
      <c r="D74" s="771" t="str">
        <f t="shared" si="1"/>
        <v/>
      </c>
      <c r="E74" s="771" t="str">
        <f t="shared" si="2"/>
        <v/>
      </c>
      <c r="F74" s="771" t="str">
        <f t="shared" si="3"/>
        <v/>
      </c>
      <c r="G74" s="772" t="str">
        <f t="shared" si="4"/>
        <v/>
      </c>
      <c r="H74" s="773" t="str">
        <f t="shared" si="5"/>
        <v/>
      </c>
      <c r="I74" s="774" t="str">
        <f t="shared" si="6"/>
        <v/>
      </c>
      <c r="J74" s="773" t="str">
        <f t="shared" si="7"/>
        <v/>
      </c>
      <c r="K74" s="772" t="str">
        <f t="shared" si="8"/>
        <v/>
      </c>
      <c r="L74" s="722" t="str">
        <f>IF($B74&lt;=$F$4,($D74-$H74)/'3.1 Delinquency Data'!C74,"")</f>
        <v/>
      </c>
      <c r="M74" s="94"/>
    </row>
    <row r="75" spans="1:13">
      <c r="A75" s="225"/>
      <c r="B75" s="370">
        <v>55</v>
      </c>
      <c r="C75" s="720" t="str">
        <f t="shared" si="0"/>
        <v/>
      </c>
      <c r="D75" s="771" t="str">
        <f t="shared" si="1"/>
        <v/>
      </c>
      <c r="E75" s="771" t="str">
        <f t="shared" si="2"/>
        <v/>
      </c>
      <c r="F75" s="771" t="str">
        <f t="shared" si="3"/>
        <v/>
      </c>
      <c r="G75" s="772" t="str">
        <f t="shared" si="4"/>
        <v/>
      </c>
      <c r="H75" s="773" t="str">
        <f t="shared" si="5"/>
        <v/>
      </c>
      <c r="I75" s="774" t="str">
        <f t="shared" si="6"/>
        <v/>
      </c>
      <c r="J75" s="773" t="str">
        <f t="shared" si="7"/>
        <v/>
      </c>
      <c r="K75" s="772" t="str">
        <f t="shared" si="8"/>
        <v/>
      </c>
      <c r="L75" s="722" t="str">
        <f>IF($B75&lt;=$F$4,($D75-$H75)/'3.1 Delinquency Data'!C75,"")</f>
        <v/>
      </c>
      <c r="M75" s="94"/>
    </row>
    <row r="76" spans="1:13">
      <c r="A76" s="225"/>
      <c r="B76" s="370">
        <v>56</v>
      </c>
      <c r="C76" s="720" t="str">
        <f t="shared" si="0"/>
        <v/>
      </c>
      <c r="D76" s="771" t="str">
        <f t="shared" si="1"/>
        <v/>
      </c>
      <c r="E76" s="771" t="str">
        <f t="shared" si="2"/>
        <v/>
      </c>
      <c r="F76" s="771" t="str">
        <f t="shared" si="3"/>
        <v/>
      </c>
      <c r="G76" s="772" t="str">
        <f t="shared" si="4"/>
        <v/>
      </c>
      <c r="H76" s="773" t="str">
        <f t="shared" si="5"/>
        <v/>
      </c>
      <c r="I76" s="774" t="str">
        <f t="shared" si="6"/>
        <v/>
      </c>
      <c r="J76" s="773" t="str">
        <f t="shared" si="7"/>
        <v/>
      </c>
      <c r="K76" s="772" t="str">
        <f t="shared" si="8"/>
        <v/>
      </c>
      <c r="L76" s="722" t="str">
        <f>IF($B76&lt;=$F$4,($D76-$H76)/'3.1 Delinquency Data'!C76,"")</f>
        <v/>
      </c>
      <c r="M76" s="94"/>
    </row>
    <row r="77" spans="1:13">
      <c r="A77" s="225"/>
      <c r="B77" s="370">
        <v>57</v>
      </c>
      <c r="C77" s="720" t="str">
        <f t="shared" si="0"/>
        <v/>
      </c>
      <c r="D77" s="771" t="str">
        <f t="shared" si="1"/>
        <v/>
      </c>
      <c r="E77" s="771" t="str">
        <f t="shared" si="2"/>
        <v/>
      </c>
      <c r="F77" s="771" t="str">
        <f t="shared" si="3"/>
        <v/>
      </c>
      <c r="G77" s="772" t="str">
        <f t="shared" si="4"/>
        <v/>
      </c>
      <c r="H77" s="773" t="str">
        <f t="shared" si="5"/>
        <v/>
      </c>
      <c r="I77" s="774" t="str">
        <f t="shared" si="6"/>
        <v/>
      </c>
      <c r="J77" s="773" t="str">
        <f t="shared" si="7"/>
        <v/>
      </c>
      <c r="K77" s="772" t="str">
        <f t="shared" si="8"/>
        <v/>
      </c>
      <c r="L77" s="722" t="str">
        <f>IF($B77&lt;=$F$4,($D77-$H77)/'3.1 Delinquency Data'!C77,"")</f>
        <v/>
      </c>
      <c r="M77" s="94"/>
    </row>
    <row r="78" spans="1:13">
      <c r="A78" s="225"/>
      <c r="B78" s="370">
        <v>58</v>
      </c>
      <c r="C78" s="720" t="str">
        <f t="shared" si="0"/>
        <v/>
      </c>
      <c r="D78" s="771" t="str">
        <f t="shared" si="1"/>
        <v/>
      </c>
      <c r="E78" s="771" t="str">
        <f t="shared" si="2"/>
        <v/>
      </c>
      <c r="F78" s="771" t="str">
        <f t="shared" si="3"/>
        <v/>
      </c>
      <c r="G78" s="772" t="str">
        <f t="shared" si="4"/>
        <v/>
      </c>
      <c r="H78" s="773" t="str">
        <f t="shared" si="5"/>
        <v/>
      </c>
      <c r="I78" s="774" t="str">
        <f t="shared" si="6"/>
        <v/>
      </c>
      <c r="J78" s="773" t="str">
        <f t="shared" si="7"/>
        <v/>
      </c>
      <c r="K78" s="772" t="str">
        <f t="shared" si="8"/>
        <v/>
      </c>
      <c r="L78" s="722" t="str">
        <f>IF($B78&lt;=$F$4,($D78-$H78)/'3.1 Delinquency Data'!C78,"")</f>
        <v/>
      </c>
      <c r="M78" s="94"/>
    </row>
    <row r="79" spans="1:13">
      <c r="A79" s="225"/>
      <c r="B79" s="370">
        <v>59</v>
      </c>
      <c r="C79" s="720" t="str">
        <f t="shared" si="0"/>
        <v/>
      </c>
      <c r="D79" s="771" t="str">
        <f t="shared" si="1"/>
        <v/>
      </c>
      <c r="E79" s="771" t="str">
        <f t="shared" si="2"/>
        <v/>
      </c>
      <c r="F79" s="771" t="str">
        <f t="shared" si="3"/>
        <v/>
      </c>
      <c r="G79" s="772" t="str">
        <f t="shared" si="4"/>
        <v/>
      </c>
      <c r="H79" s="773" t="str">
        <f t="shared" si="5"/>
        <v/>
      </c>
      <c r="I79" s="774" t="str">
        <f t="shared" si="6"/>
        <v/>
      </c>
      <c r="J79" s="773" t="str">
        <f t="shared" si="7"/>
        <v/>
      </c>
      <c r="K79" s="772" t="str">
        <f t="shared" si="8"/>
        <v/>
      </c>
      <c r="L79" s="722" t="str">
        <f>IF($B79&lt;=$F$4,($D79-$H79)/'3.1 Delinquency Data'!C79,"")</f>
        <v/>
      </c>
      <c r="M79" s="94"/>
    </row>
    <row r="80" spans="1:13">
      <c r="A80" s="225"/>
      <c r="B80" s="370">
        <v>60</v>
      </c>
      <c r="C80" s="720" t="str">
        <f t="shared" si="0"/>
        <v/>
      </c>
      <c r="D80" s="771" t="str">
        <f t="shared" si="1"/>
        <v/>
      </c>
      <c r="E80" s="771" t="str">
        <f t="shared" si="2"/>
        <v/>
      </c>
      <c r="F80" s="771" t="str">
        <f t="shared" si="3"/>
        <v/>
      </c>
      <c r="G80" s="772" t="str">
        <f t="shared" si="4"/>
        <v/>
      </c>
      <c r="H80" s="773" t="str">
        <f t="shared" si="5"/>
        <v/>
      </c>
      <c r="I80" s="774" t="str">
        <f t="shared" si="6"/>
        <v/>
      </c>
      <c r="J80" s="773" t="str">
        <f t="shared" si="7"/>
        <v/>
      </c>
      <c r="K80" s="772" t="str">
        <f t="shared" si="8"/>
        <v/>
      </c>
      <c r="L80" s="722" t="str">
        <f>IF($B80&lt;=$F$4,($D80-$H80)/'3.1 Delinquency Data'!C80,"")</f>
        <v/>
      </c>
      <c r="M80" s="94"/>
    </row>
    <row r="81" spans="1:13">
      <c r="A81" s="225"/>
      <c r="B81" s="370">
        <v>61</v>
      </c>
      <c r="C81" s="720" t="str">
        <f t="shared" si="0"/>
        <v/>
      </c>
      <c r="D81" s="771" t="str">
        <f t="shared" si="1"/>
        <v/>
      </c>
      <c r="E81" s="771" t="str">
        <f t="shared" si="2"/>
        <v/>
      </c>
      <c r="F81" s="771" t="str">
        <f t="shared" si="3"/>
        <v/>
      </c>
      <c r="G81" s="772" t="str">
        <f t="shared" si="4"/>
        <v/>
      </c>
      <c r="H81" s="773" t="str">
        <f t="shared" si="5"/>
        <v/>
      </c>
      <c r="I81" s="774" t="str">
        <f t="shared" si="6"/>
        <v/>
      </c>
      <c r="J81" s="773" t="str">
        <f t="shared" si="7"/>
        <v/>
      </c>
      <c r="K81" s="772" t="str">
        <f t="shared" si="8"/>
        <v/>
      </c>
      <c r="L81" s="722" t="str">
        <f>IF($B81&lt;=$F$4,($D81-$H81)/'3.1 Delinquency Data'!C81,"")</f>
        <v/>
      </c>
      <c r="M81" s="94"/>
    </row>
    <row r="82" spans="1:13">
      <c r="A82" s="225"/>
      <c r="B82" s="370">
        <v>62</v>
      </c>
      <c r="C82" s="720" t="str">
        <f t="shared" si="0"/>
        <v/>
      </c>
      <c r="D82" s="771" t="str">
        <f t="shared" si="1"/>
        <v/>
      </c>
      <c r="E82" s="771" t="str">
        <f t="shared" si="2"/>
        <v/>
      </c>
      <c r="F82" s="771" t="str">
        <f t="shared" si="3"/>
        <v/>
      </c>
      <c r="G82" s="772" t="str">
        <f t="shared" si="4"/>
        <v/>
      </c>
      <c r="H82" s="773" t="str">
        <f t="shared" si="5"/>
        <v/>
      </c>
      <c r="I82" s="774" t="str">
        <f t="shared" si="6"/>
        <v/>
      </c>
      <c r="J82" s="773" t="str">
        <f t="shared" si="7"/>
        <v/>
      </c>
      <c r="K82" s="772" t="str">
        <f t="shared" si="8"/>
        <v/>
      </c>
      <c r="L82" s="722" t="str">
        <f>IF($B82&lt;=$F$4,($D82-$H82)/'3.1 Delinquency Data'!C82,"")</f>
        <v/>
      </c>
      <c r="M82" s="94"/>
    </row>
    <row r="83" spans="1:13">
      <c r="A83" s="225"/>
      <c r="B83" s="370">
        <v>63</v>
      </c>
      <c r="C83" s="720" t="str">
        <f t="shared" si="0"/>
        <v/>
      </c>
      <c r="D83" s="771" t="str">
        <f t="shared" si="1"/>
        <v/>
      </c>
      <c r="E83" s="771" t="str">
        <f t="shared" si="2"/>
        <v/>
      </c>
      <c r="F83" s="771" t="str">
        <f t="shared" si="3"/>
        <v/>
      </c>
      <c r="G83" s="772" t="str">
        <f t="shared" si="4"/>
        <v/>
      </c>
      <c r="H83" s="773" t="str">
        <f t="shared" si="5"/>
        <v/>
      </c>
      <c r="I83" s="774" t="str">
        <f t="shared" si="6"/>
        <v/>
      </c>
      <c r="J83" s="773" t="str">
        <f t="shared" si="7"/>
        <v/>
      </c>
      <c r="K83" s="772" t="str">
        <f t="shared" si="8"/>
        <v/>
      </c>
      <c r="L83" s="722" t="str">
        <f>IF($B83&lt;=$F$4,($D83-$H83)/'3.1 Delinquency Data'!C83,"")</f>
        <v/>
      </c>
      <c r="M83" s="94"/>
    </row>
    <row r="84" spans="1:13">
      <c r="A84" s="225"/>
      <c r="B84" s="370">
        <v>64</v>
      </c>
      <c r="C84" s="720" t="str">
        <f t="shared" si="0"/>
        <v/>
      </c>
      <c r="D84" s="771" t="str">
        <f t="shared" si="1"/>
        <v/>
      </c>
      <c r="E84" s="771" t="str">
        <f t="shared" si="2"/>
        <v/>
      </c>
      <c r="F84" s="771" t="str">
        <f t="shared" si="3"/>
        <v/>
      </c>
      <c r="G84" s="772" t="str">
        <f t="shared" si="4"/>
        <v/>
      </c>
      <c r="H84" s="773" t="str">
        <f t="shared" si="5"/>
        <v/>
      </c>
      <c r="I84" s="774" t="str">
        <f t="shared" si="6"/>
        <v/>
      </c>
      <c r="J84" s="773" t="str">
        <f t="shared" si="7"/>
        <v/>
      </c>
      <c r="K84" s="772" t="str">
        <f t="shared" si="8"/>
        <v/>
      </c>
      <c r="L84" s="722" t="str">
        <f>IF($B84&lt;=$F$4,($D84-$H84)/'3.1 Delinquency Data'!C84,"")</f>
        <v/>
      </c>
      <c r="M84" s="94"/>
    </row>
    <row r="85" spans="1:13">
      <c r="A85" s="225"/>
      <c r="B85" s="370">
        <v>65</v>
      </c>
      <c r="C85" s="720" t="str">
        <f t="shared" ref="C85:C100" si="9">IF($F$4&gt;=$B85,VLOOKUP(CONCATENATE("defaults_",$B85),defaults,2,0),"")</f>
        <v/>
      </c>
      <c r="D85" s="771" t="str">
        <f t="shared" ref="D85:D100" si="10">IF($F$4&gt;=$B85,VLOOKUP(CONCATENATE("defaults_",$B85),defaults,3,0),"")</f>
        <v/>
      </c>
      <c r="E85" s="771" t="str">
        <f t="shared" ref="E85:E100" si="11">IF($F$4&gt;=$B85,VLOOKUP(CONCATENATE("defaults_",$B85),defaults,4,0),"")</f>
        <v/>
      </c>
      <c r="F85" s="771" t="str">
        <f t="shared" ref="F85:F100" si="12">IF($F$4&gt;=$B85,VLOOKUP(CONCATENATE("defaults_",$B85),defaults,5,0),"")</f>
        <v/>
      </c>
      <c r="G85" s="772" t="str">
        <f t="shared" ref="G85:G100" si="13">IF($F$4&gt;=$B85,VLOOKUP(CONCATENATE("defaults_",$B85),defaults,6,0),"")</f>
        <v/>
      </c>
      <c r="H85" s="773" t="str">
        <f t="shared" ref="H85:H100" si="14">IF($F$4&gt;=$B85,VLOOKUP(CONCATENATE("defaults_",$B85),defaults,7,0),"")</f>
        <v/>
      </c>
      <c r="I85" s="774" t="str">
        <f t="shared" ref="I85:I100" si="15">IF($F$4&gt;=$B85,VLOOKUP(CONCATENATE("defaults_",$B85),defaults,8,0),"")</f>
        <v/>
      </c>
      <c r="J85" s="773" t="str">
        <f t="shared" ref="J85:J100" si="16">IF($F$4&gt;=$B85,VLOOKUP(CONCATENATE("defaults_",$B85),defaults,9,0),"")</f>
        <v/>
      </c>
      <c r="K85" s="772" t="str">
        <f t="shared" ref="K85:K100" si="17">IF($F$4&gt;=$B85,VLOOKUP(CONCATENATE("defaults_",$B85),defaults,10,0),"")</f>
        <v/>
      </c>
      <c r="L85" s="722" t="str">
        <f>IF($B85&lt;=$F$4,($D85-$H85)/'3.1 Delinquency Data'!C85,"")</f>
        <v/>
      </c>
      <c r="M85" s="94"/>
    </row>
    <row r="86" spans="1:13">
      <c r="A86" s="225"/>
      <c r="B86" s="370">
        <v>66</v>
      </c>
      <c r="C86" s="720" t="str">
        <f t="shared" si="9"/>
        <v/>
      </c>
      <c r="D86" s="771" t="str">
        <f t="shared" si="10"/>
        <v/>
      </c>
      <c r="E86" s="771" t="str">
        <f t="shared" si="11"/>
        <v/>
      </c>
      <c r="F86" s="771" t="str">
        <f t="shared" si="12"/>
        <v/>
      </c>
      <c r="G86" s="772" t="str">
        <f t="shared" si="13"/>
        <v/>
      </c>
      <c r="H86" s="773" t="str">
        <f t="shared" si="14"/>
        <v/>
      </c>
      <c r="I86" s="774" t="str">
        <f t="shared" si="15"/>
        <v/>
      </c>
      <c r="J86" s="773" t="str">
        <f t="shared" si="16"/>
        <v/>
      </c>
      <c r="K86" s="772" t="str">
        <f t="shared" si="17"/>
        <v/>
      </c>
      <c r="L86" s="722" t="str">
        <f>IF($B86&lt;=$F$4,($D86-$H86)/'3.1 Delinquency Data'!C86,"")</f>
        <v/>
      </c>
      <c r="M86" s="94"/>
    </row>
    <row r="87" spans="1:13">
      <c r="A87" s="225"/>
      <c r="B87" s="370">
        <v>67</v>
      </c>
      <c r="C87" s="720" t="str">
        <f t="shared" si="9"/>
        <v/>
      </c>
      <c r="D87" s="771" t="str">
        <f t="shared" si="10"/>
        <v/>
      </c>
      <c r="E87" s="771" t="str">
        <f t="shared" si="11"/>
        <v/>
      </c>
      <c r="F87" s="771" t="str">
        <f t="shared" si="12"/>
        <v/>
      </c>
      <c r="G87" s="772" t="str">
        <f t="shared" si="13"/>
        <v/>
      </c>
      <c r="H87" s="773" t="str">
        <f t="shared" si="14"/>
        <v/>
      </c>
      <c r="I87" s="774" t="str">
        <f t="shared" si="15"/>
        <v/>
      </c>
      <c r="J87" s="773" t="str">
        <f t="shared" si="16"/>
        <v/>
      </c>
      <c r="K87" s="772" t="str">
        <f t="shared" si="17"/>
        <v/>
      </c>
      <c r="L87" s="722" t="str">
        <f>IF($B87&lt;=$F$4,($D87-$H87)/'3.1 Delinquency Data'!C87,"")</f>
        <v/>
      </c>
      <c r="M87" s="94"/>
    </row>
    <row r="88" spans="1:13">
      <c r="A88" s="225"/>
      <c r="B88" s="370">
        <v>68</v>
      </c>
      <c r="C88" s="720" t="str">
        <f t="shared" si="9"/>
        <v/>
      </c>
      <c r="D88" s="771" t="str">
        <f t="shared" si="10"/>
        <v/>
      </c>
      <c r="E88" s="771" t="str">
        <f t="shared" si="11"/>
        <v/>
      </c>
      <c r="F88" s="771" t="str">
        <f t="shared" si="12"/>
        <v/>
      </c>
      <c r="G88" s="772" t="str">
        <f t="shared" si="13"/>
        <v/>
      </c>
      <c r="H88" s="773" t="str">
        <f t="shared" si="14"/>
        <v/>
      </c>
      <c r="I88" s="774" t="str">
        <f t="shared" si="15"/>
        <v/>
      </c>
      <c r="J88" s="773" t="str">
        <f t="shared" si="16"/>
        <v/>
      </c>
      <c r="K88" s="772" t="str">
        <f t="shared" si="17"/>
        <v/>
      </c>
      <c r="L88" s="722" t="str">
        <f>IF($B88&lt;=$F$4,($D88-$H88)/'3.1 Delinquency Data'!C88,"")</f>
        <v/>
      </c>
      <c r="M88" s="94"/>
    </row>
    <row r="89" spans="1:13">
      <c r="A89" s="225"/>
      <c r="B89" s="370">
        <v>69</v>
      </c>
      <c r="C89" s="720" t="str">
        <f t="shared" si="9"/>
        <v/>
      </c>
      <c r="D89" s="771" t="str">
        <f t="shared" si="10"/>
        <v/>
      </c>
      <c r="E89" s="771" t="str">
        <f t="shared" si="11"/>
        <v/>
      </c>
      <c r="F89" s="771" t="str">
        <f t="shared" si="12"/>
        <v/>
      </c>
      <c r="G89" s="772" t="str">
        <f t="shared" si="13"/>
        <v/>
      </c>
      <c r="H89" s="773" t="str">
        <f t="shared" si="14"/>
        <v/>
      </c>
      <c r="I89" s="774" t="str">
        <f t="shared" si="15"/>
        <v/>
      </c>
      <c r="J89" s="773" t="str">
        <f t="shared" si="16"/>
        <v/>
      </c>
      <c r="K89" s="772" t="str">
        <f t="shared" si="17"/>
        <v/>
      </c>
      <c r="L89" s="722" t="str">
        <f>IF($B89&lt;=$F$4,($D89-$H89)/'3.1 Delinquency Data'!C89,"")</f>
        <v/>
      </c>
      <c r="M89" s="94"/>
    </row>
    <row r="90" spans="1:13">
      <c r="A90" s="225"/>
      <c r="B90" s="370">
        <v>70</v>
      </c>
      <c r="C90" s="720" t="str">
        <f t="shared" si="9"/>
        <v/>
      </c>
      <c r="D90" s="771" t="str">
        <f t="shared" si="10"/>
        <v/>
      </c>
      <c r="E90" s="771" t="str">
        <f t="shared" si="11"/>
        <v/>
      </c>
      <c r="F90" s="771" t="str">
        <f t="shared" si="12"/>
        <v/>
      </c>
      <c r="G90" s="772" t="str">
        <f t="shared" si="13"/>
        <v/>
      </c>
      <c r="H90" s="773" t="str">
        <f t="shared" si="14"/>
        <v/>
      </c>
      <c r="I90" s="774" t="str">
        <f t="shared" si="15"/>
        <v/>
      </c>
      <c r="J90" s="773" t="str">
        <f t="shared" si="16"/>
        <v/>
      </c>
      <c r="K90" s="772" t="str">
        <f t="shared" si="17"/>
        <v/>
      </c>
      <c r="L90" s="722" t="str">
        <f>IF($B90&lt;=$F$4,($D90-$H90)/'3.1 Delinquency Data'!C90,"")</f>
        <v/>
      </c>
      <c r="M90" s="94"/>
    </row>
    <row r="91" spans="1:13">
      <c r="A91" s="225"/>
      <c r="B91" s="370">
        <v>71</v>
      </c>
      <c r="C91" s="720" t="str">
        <f t="shared" si="9"/>
        <v/>
      </c>
      <c r="D91" s="771" t="str">
        <f t="shared" si="10"/>
        <v/>
      </c>
      <c r="E91" s="771" t="str">
        <f t="shared" si="11"/>
        <v/>
      </c>
      <c r="F91" s="771" t="str">
        <f t="shared" si="12"/>
        <v/>
      </c>
      <c r="G91" s="772" t="str">
        <f t="shared" si="13"/>
        <v/>
      </c>
      <c r="H91" s="773" t="str">
        <f t="shared" si="14"/>
        <v/>
      </c>
      <c r="I91" s="774" t="str">
        <f t="shared" si="15"/>
        <v/>
      </c>
      <c r="J91" s="773" t="str">
        <f t="shared" si="16"/>
        <v/>
      </c>
      <c r="K91" s="772" t="str">
        <f t="shared" si="17"/>
        <v/>
      </c>
      <c r="L91" s="722" t="str">
        <f>IF($B91&lt;=$F$4,($D91-$H91)/'3.1 Delinquency Data'!C91,"")</f>
        <v/>
      </c>
      <c r="M91" s="94"/>
    </row>
    <row r="92" spans="1:13">
      <c r="A92" s="225"/>
      <c r="B92" s="370">
        <v>72</v>
      </c>
      <c r="C92" s="720" t="str">
        <f t="shared" si="9"/>
        <v/>
      </c>
      <c r="D92" s="771" t="str">
        <f t="shared" si="10"/>
        <v/>
      </c>
      <c r="E92" s="771" t="str">
        <f t="shared" si="11"/>
        <v/>
      </c>
      <c r="F92" s="771" t="str">
        <f t="shared" si="12"/>
        <v/>
      </c>
      <c r="G92" s="772" t="str">
        <f t="shared" si="13"/>
        <v/>
      </c>
      <c r="H92" s="773" t="str">
        <f t="shared" si="14"/>
        <v/>
      </c>
      <c r="I92" s="774" t="str">
        <f t="shared" si="15"/>
        <v/>
      </c>
      <c r="J92" s="773" t="str">
        <f t="shared" si="16"/>
        <v/>
      </c>
      <c r="K92" s="772" t="str">
        <f t="shared" si="17"/>
        <v/>
      </c>
      <c r="L92" s="722" t="str">
        <f>IF($B92&lt;=$F$4,($D92-$H92)/'3.1 Delinquency Data'!C92,"")</f>
        <v/>
      </c>
      <c r="M92" s="94"/>
    </row>
    <row r="93" spans="1:13">
      <c r="A93" s="225"/>
      <c r="B93" s="370">
        <v>73</v>
      </c>
      <c r="C93" s="720" t="str">
        <f t="shared" si="9"/>
        <v/>
      </c>
      <c r="D93" s="771" t="str">
        <f t="shared" si="10"/>
        <v/>
      </c>
      <c r="E93" s="771" t="str">
        <f t="shared" si="11"/>
        <v/>
      </c>
      <c r="F93" s="771" t="str">
        <f t="shared" si="12"/>
        <v/>
      </c>
      <c r="G93" s="772" t="str">
        <f t="shared" si="13"/>
        <v/>
      </c>
      <c r="H93" s="773" t="str">
        <f t="shared" si="14"/>
        <v/>
      </c>
      <c r="I93" s="774" t="str">
        <f t="shared" si="15"/>
        <v/>
      </c>
      <c r="J93" s="773" t="str">
        <f t="shared" si="16"/>
        <v/>
      </c>
      <c r="K93" s="772" t="str">
        <f t="shared" si="17"/>
        <v/>
      </c>
      <c r="L93" s="722" t="str">
        <f>IF($B93&lt;=$F$4,($D93-$H93)/'3.1 Delinquency Data'!C93,"")</f>
        <v/>
      </c>
      <c r="M93" s="94"/>
    </row>
    <row r="94" spans="1:13">
      <c r="A94" s="225"/>
      <c r="B94" s="370">
        <v>74</v>
      </c>
      <c r="C94" s="720" t="str">
        <f t="shared" si="9"/>
        <v/>
      </c>
      <c r="D94" s="771" t="str">
        <f t="shared" si="10"/>
        <v/>
      </c>
      <c r="E94" s="771" t="str">
        <f t="shared" si="11"/>
        <v/>
      </c>
      <c r="F94" s="771" t="str">
        <f t="shared" si="12"/>
        <v/>
      </c>
      <c r="G94" s="772" t="str">
        <f t="shared" si="13"/>
        <v/>
      </c>
      <c r="H94" s="773" t="str">
        <f t="shared" si="14"/>
        <v/>
      </c>
      <c r="I94" s="774" t="str">
        <f t="shared" si="15"/>
        <v/>
      </c>
      <c r="J94" s="773" t="str">
        <f t="shared" si="16"/>
        <v/>
      </c>
      <c r="K94" s="772" t="str">
        <f t="shared" si="17"/>
        <v/>
      </c>
      <c r="L94" s="722" t="str">
        <f>IF($B94&lt;=$F$4,($D94-$H94)/'3.1 Delinquency Data'!C94,"")</f>
        <v/>
      </c>
      <c r="M94" s="94"/>
    </row>
    <row r="95" spans="1:13">
      <c r="A95" s="225"/>
      <c r="B95" s="370">
        <v>75</v>
      </c>
      <c r="C95" s="720" t="str">
        <f t="shared" si="9"/>
        <v/>
      </c>
      <c r="D95" s="771" t="str">
        <f t="shared" si="10"/>
        <v/>
      </c>
      <c r="E95" s="771" t="str">
        <f t="shared" si="11"/>
        <v/>
      </c>
      <c r="F95" s="771" t="str">
        <f t="shared" si="12"/>
        <v/>
      </c>
      <c r="G95" s="772" t="str">
        <f t="shared" si="13"/>
        <v/>
      </c>
      <c r="H95" s="773" t="str">
        <f t="shared" si="14"/>
        <v/>
      </c>
      <c r="I95" s="774" t="str">
        <f t="shared" si="15"/>
        <v/>
      </c>
      <c r="J95" s="773" t="str">
        <f t="shared" si="16"/>
        <v/>
      </c>
      <c r="K95" s="772" t="str">
        <f t="shared" si="17"/>
        <v/>
      </c>
      <c r="L95" s="722" t="str">
        <f>IF($B95&lt;=$F$4,($D95-$H95)/'3.1 Delinquency Data'!C95,"")</f>
        <v/>
      </c>
      <c r="M95" s="94"/>
    </row>
    <row r="96" spans="1:13">
      <c r="A96" s="225"/>
      <c r="B96" s="370">
        <v>76</v>
      </c>
      <c r="C96" s="720" t="str">
        <f t="shared" si="9"/>
        <v/>
      </c>
      <c r="D96" s="771" t="str">
        <f t="shared" si="10"/>
        <v/>
      </c>
      <c r="E96" s="771" t="str">
        <f t="shared" si="11"/>
        <v/>
      </c>
      <c r="F96" s="771" t="str">
        <f t="shared" si="12"/>
        <v/>
      </c>
      <c r="G96" s="772" t="str">
        <f t="shared" si="13"/>
        <v/>
      </c>
      <c r="H96" s="773" t="str">
        <f t="shared" si="14"/>
        <v/>
      </c>
      <c r="I96" s="774" t="str">
        <f t="shared" si="15"/>
        <v/>
      </c>
      <c r="J96" s="773" t="str">
        <f t="shared" si="16"/>
        <v/>
      </c>
      <c r="K96" s="772" t="str">
        <f t="shared" si="17"/>
        <v/>
      </c>
      <c r="L96" s="722" t="str">
        <f>IF($B96&lt;=$F$4,($D96-$H96)/'3.1 Delinquency Data'!C96,"")</f>
        <v/>
      </c>
      <c r="M96" s="94"/>
    </row>
    <row r="97" spans="1:13">
      <c r="A97" s="225"/>
      <c r="B97" s="370">
        <v>77</v>
      </c>
      <c r="C97" s="720" t="str">
        <f t="shared" si="9"/>
        <v/>
      </c>
      <c r="D97" s="771" t="str">
        <f t="shared" si="10"/>
        <v/>
      </c>
      <c r="E97" s="771" t="str">
        <f t="shared" si="11"/>
        <v/>
      </c>
      <c r="F97" s="771" t="str">
        <f t="shared" si="12"/>
        <v/>
      </c>
      <c r="G97" s="772" t="str">
        <f t="shared" si="13"/>
        <v/>
      </c>
      <c r="H97" s="773" t="str">
        <f t="shared" si="14"/>
        <v/>
      </c>
      <c r="I97" s="774" t="str">
        <f t="shared" si="15"/>
        <v/>
      </c>
      <c r="J97" s="773" t="str">
        <f t="shared" si="16"/>
        <v/>
      </c>
      <c r="K97" s="772" t="str">
        <f t="shared" si="17"/>
        <v/>
      </c>
      <c r="L97" s="722" t="str">
        <f>IF($B97&lt;=$F$4,($D97-$H97)/'3.1 Delinquency Data'!C97,"")</f>
        <v/>
      </c>
      <c r="M97" s="94"/>
    </row>
    <row r="98" spans="1:13">
      <c r="A98" s="225"/>
      <c r="B98" s="370">
        <v>78</v>
      </c>
      <c r="C98" s="720" t="str">
        <f t="shared" si="9"/>
        <v/>
      </c>
      <c r="D98" s="771" t="str">
        <f t="shared" si="10"/>
        <v/>
      </c>
      <c r="E98" s="771" t="str">
        <f t="shared" si="11"/>
        <v/>
      </c>
      <c r="F98" s="771" t="str">
        <f t="shared" si="12"/>
        <v/>
      </c>
      <c r="G98" s="772" t="str">
        <f t="shared" si="13"/>
        <v/>
      </c>
      <c r="H98" s="773" t="str">
        <f t="shared" si="14"/>
        <v/>
      </c>
      <c r="I98" s="774" t="str">
        <f t="shared" si="15"/>
        <v/>
      </c>
      <c r="J98" s="773" t="str">
        <f t="shared" si="16"/>
        <v/>
      </c>
      <c r="K98" s="772" t="str">
        <f t="shared" si="17"/>
        <v/>
      </c>
      <c r="L98" s="722" t="str">
        <f>IF($B98&lt;=$F$4,($D98-$H98)/'3.1 Delinquency Data'!C98,"")</f>
        <v/>
      </c>
      <c r="M98" s="94"/>
    </row>
    <row r="99" spans="1:13">
      <c r="A99" s="225"/>
      <c r="B99" s="839">
        <v>79</v>
      </c>
      <c r="C99" s="720" t="str">
        <f t="shared" si="9"/>
        <v/>
      </c>
      <c r="D99" s="771" t="str">
        <f t="shared" si="10"/>
        <v/>
      </c>
      <c r="E99" s="771" t="str">
        <f t="shared" si="11"/>
        <v/>
      </c>
      <c r="F99" s="771" t="str">
        <f t="shared" si="12"/>
        <v/>
      </c>
      <c r="G99" s="772" t="str">
        <f t="shared" si="13"/>
        <v/>
      </c>
      <c r="H99" s="773" t="str">
        <f t="shared" si="14"/>
        <v/>
      </c>
      <c r="I99" s="774" t="str">
        <f t="shared" si="15"/>
        <v/>
      </c>
      <c r="J99" s="773" t="str">
        <f t="shared" si="16"/>
        <v/>
      </c>
      <c r="K99" s="772" t="str">
        <f t="shared" si="17"/>
        <v/>
      </c>
      <c r="L99" s="722" t="str">
        <f>IF($B99&lt;=$F$4,($D99-$H99)/'3.1 Delinquency Data'!C99,"")</f>
        <v/>
      </c>
      <c r="M99" s="94"/>
    </row>
    <row r="100" spans="1:13">
      <c r="A100" s="225"/>
      <c r="B100" s="732">
        <v>80</v>
      </c>
      <c r="C100" s="798" t="str">
        <f t="shared" si="9"/>
        <v/>
      </c>
      <c r="D100" s="799" t="str">
        <f t="shared" si="10"/>
        <v/>
      </c>
      <c r="E100" s="799" t="str">
        <f t="shared" si="11"/>
        <v/>
      </c>
      <c r="F100" s="799" t="str">
        <f t="shared" si="12"/>
        <v/>
      </c>
      <c r="G100" s="800" t="str">
        <f t="shared" si="13"/>
        <v/>
      </c>
      <c r="H100" s="801" t="str">
        <f t="shared" si="14"/>
        <v/>
      </c>
      <c r="I100" s="802" t="str">
        <f t="shared" si="15"/>
        <v/>
      </c>
      <c r="J100" s="801" t="str">
        <f t="shared" si="16"/>
        <v/>
      </c>
      <c r="K100" s="800" t="str">
        <f t="shared" si="17"/>
        <v/>
      </c>
      <c r="L100" s="733" t="str">
        <f>IF($B100&lt;=$F$4,($D100-$H100)/'3.1 Delinquency Data'!C100,"")</f>
        <v/>
      </c>
      <c r="M100" s="94"/>
    </row>
    <row r="101" spans="1:13">
      <c r="A101" s="285"/>
      <c r="B101" s="862" t="s">
        <v>733</v>
      </c>
      <c r="C101" s="803"/>
      <c r="D101" s="804"/>
      <c r="E101" s="804"/>
      <c r="F101" s="804"/>
      <c r="G101" s="805"/>
      <c r="H101" s="806"/>
      <c r="I101" s="807"/>
      <c r="J101" s="806"/>
      <c r="K101" s="805"/>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60" zoomScaleNormal="10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2024-2</v>
      </c>
      <c r="C2" s="226"/>
      <c r="D2" s="653" t="str">
        <f>'Cover Sheet'!D2</f>
        <v>Calculation Date</v>
      </c>
      <c r="E2" s="654"/>
      <c r="F2" s="655">
        <f>'Cover Sheet'!F2</f>
        <v>45848</v>
      </c>
      <c r="G2" s="654"/>
      <c r="H2" s="654"/>
      <c r="I2" s="654"/>
      <c r="J2" s="654"/>
      <c r="K2" s="654"/>
      <c r="L2" s="656"/>
      <c r="M2" s="94"/>
    </row>
    <row r="3" spans="1:13" ht="18" customHeight="1">
      <c r="A3" s="225"/>
      <c r="B3" s="226" t="str">
        <f>'Cover Sheet'!B3</f>
        <v>Monthly Investor Report</v>
      </c>
      <c r="C3" s="226"/>
      <c r="D3" s="657" t="str">
        <f>'Cover Sheet'!D3</f>
        <v>Payment Date</v>
      </c>
      <c r="E3" s="658"/>
      <c r="F3" s="659">
        <f>'Cover Sheet'!F3</f>
        <v>45852</v>
      </c>
      <c r="G3" s="658"/>
      <c r="H3" s="658"/>
      <c r="I3" s="658"/>
      <c r="J3" s="658"/>
      <c r="K3" s="658"/>
      <c r="L3" s="660"/>
      <c r="M3" s="94"/>
    </row>
    <row r="4" spans="1:13">
      <c r="A4" s="225"/>
      <c r="B4" s="661"/>
      <c r="C4" s="109"/>
      <c r="D4" s="657" t="str">
        <f>'Cover Sheet'!D4</f>
        <v>Period  No</v>
      </c>
      <c r="E4" s="658"/>
      <c r="F4" s="662">
        <f>'Cover Sheet'!F4</f>
        <v>8</v>
      </c>
      <c r="G4" s="658"/>
      <c r="H4" s="663"/>
      <c r="I4" s="658"/>
      <c r="J4" s="664"/>
      <c r="K4" s="658"/>
      <c r="L4" s="660"/>
      <c r="M4" s="94"/>
    </row>
    <row r="5" spans="1:13" ht="17.25" customHeight="1">
      <c r="A5" s="225"/>
      <c r="B5" s="240" t="s">
        <v>155</v>
      </c>
      <c r="C5" s="240"/>
      <c r="D5" s="657" t="str">
        <f>'Cover Sheet'!D5</f>
        <v>Monthly Period</v>
      </c>
      <c r="E5" s="658"/>
      <c r="F5" s="130">
        <f>'Cover Sheet'!F5</f>
        <v>45852</v>
      </c>
      <c r="G5" s="658"/>
      <c r="H5" s="663"/>
      <c r="I5" s="658"/>
      <c r="J5" s="664"/>
      <c r="K5" s="658"/>
      <c r="L5" s="660"/>
      <c r="M5" s="94"/>
    </row>
    <row r="6" spans="1:13" ht="15" customHeight="1">
      <c r="A6" s="225"/>
      <c r="B6" s="665"/>
      <c r="C6" s="666"/>
      <c r="D6" s="657" t="str">
        <f>'Cover Sheet'!D6</f>
        <v>Interest Period</v>
      </c>
      <c r="E6" s="664" t="s">
        <v>34</v>
      </c>
      <c r="F6" s="659">
        <f>'Cover Sheet'!F6</f>
        <v>45824</v>
      </c>
      <c r="G6" s="664" t="str">
        <f>'Cover Sheet'!G6</f>
        <v>to</v>
      </c>
      <c r="H6" s="659">
        <f>'Cover Sheet'!H6</f>
        <v>45852</v>
      </c>
      <c r="I6" s="658" t="str">
        <f>'Cover Sheet'!I6</f>
        <v>=</v>
      </c>
      <c r="J6" s="667" t="str">
        <f>'Cover Sheet'!J6</f>
        <v>28 days</v>
      </c>
      <c r="K6" s="664"/>
      <c r="L6" s="668"/>
      <c r="M6" s="94"/>
    </row>
    <row r="7" spans="1:13" ht="12.75" customHeight="1">
      <c r="A7" s="225"/>
      <c r="D7" s="669" t="str">
        <f>'Cover Sheet'!D7</f>
        <v>Collection Period</v>
      </c>
      <c r="E7" s="670" t="s">
        <v>34</v>
      </c>
      <c r="F7" s="671" t="str">
        <f>'Cover Sheet'!F7</f>
        <v>01.06.2025</v>
      </c>
      <c r="G7" s="670" t="str">
        <f>'Cover Sheet'!G7</f>
        <v>to</v>
      </c>
      <c r="H7" s="671">
        <f>'Cover Sheet'!H7</f>
        <v>45838</v>
      </c>
      <c r="I7" s="672"/>
      <c r="J7" s="672"/>
      <c r="K7" s="672"/>
      <c r="L7" s="673"/>
      <c r="M7" s="295"/>
    </row>
    <row r="8" spans="1:13" ht="13">
      <c r="A8" s="225"/>
      <c r="F8" s="674"/>
      <c r="G8" s="5"/>
      <c r="H8" s="231"/>
      <c r="J8" s="250"/>
      <c r="L8" s="78"/>
      <c r="M8" s="94"/>
    </row>
    <row r="9" spans="1:13">
      <c r="A9" s="225"/>
      <c r="F9" s="109"/>
      <c r="M9" s="94"/>
    </row>
    <row r="10" spans="1:13">
      <c r="A10" s="225"/>
      <c r="F10" s="109"/>
      <c r="M10" s="94"/>
    </row>
    <row r="11" spans="1:13" ht="18">
      <c r="A11" s="225"/>
      <c r="D11" s="360" t="s">
        <v>236</v>
      </c>
      <c r="F11" s="109"/>
      <c r="H11" s="872" t="s">
        <v>813</v>
      </c>
      <c r="M11" s="94"/>
    </row>
    <row r="12" spans="1:13" ht="18" customHeight="1">
      <c r="A12" s="225"/>
      <c r="F12" s="5"/>
      <c r="G12" s="675"/>
      <c r="H12" s="675"/>
      <c r="I12" s="675"/>
      <c r="J12" s="675"/>
      <c r="K12" s="675"/>
      <c r="L12" s="5"/>
      <c r="M12" s="94"/>
    </row>
    <row r="13" spans="1:13" ht="14.5">
      <c r="A13" s="225"/>
      <c r="B13" s="676" t="s">
        <v>156</v>
      </c>
      <c r="C13" s="78" t="s">
        <v>157</v>
      </c>
      <c r="D13" s="78" t="s">
        <v>158</v>
      </c>
      <c r="E13" s="78"/>
      <c r="F13" s="78" t="s">
        <v>159</v>
      </c>
      <c r="G13" s="78"/>
      <c r="H13" s="78" t="s">
        <v>12</v>
      </c>
      <c r="I13" s="677"/>
      <c r="J13" s="677"/>
      <c r="K13" s="677"/>
      <c r="L13" s="677"/>
      <c r="M13" s="94"/>
    </row>
    <row r="14" spans="1:13" ht="13">
      <c r="A14" s="225"/>
      <c r="B14" s="676"/>
      <c r="C14" s="78"/>
      <c r="D14" s="78"/>
      <c r="E14" s="78"/>
      <c r="F14" s="78"/>
      <c r="G14" s="78"/>
      <c r="H14" s="78"/>
      <c r="I14" s="675"/>
      <c r="J14" s="675"/>
      <c r="K14" s="675"/>
      <c r="L14" s="675"/>
      <c r="M14" s="94"/>
    </row>
    <row r="15" spans="1:13">
      <c r="A15" s="225"/>
      <c r="B15" s="65" t="s">
        <v>244</v>
      </c>
      <c r="C15" s="678">
        <v>8.7999999999999995E-2</v>
      </c>
      <c r="D15" s="679" t="s">
        <v>35</v>
      </c>
      <c r="F15" s="796" t="s">
        <v>35</v>
      </c>
      <c r="G15" s="5"/>
      <c r="H15" s="145"/>
      <c r="I15" s="675"/>
      <c r="J15" s="675"/>
      <c r="K15" s="675"/>
      <c r="L15" s="675"/>
      <c r="M15" s="94"/>
    </row>
    <row r="16" spans="1:13">
      <c r="A16" s="225"/>
      <c r="M16" s="94"/>
    </row>
    <row r="17" spans="1:13">
      <c r="A17" s="225"/>
      <c r="B17" s="680" t="s">
        <v>245</v>
      </c>
      <c r="C17" s="681" t="s">
        <v>35</v>
      </c>
      <c r="D17" s="767">
        <v>200000</v>
      </c>
      <c r="E17" s="766"/>
      <c r="F17" s="796" t="s">
        <v>35</v>
      </c>
      <c r="G17" s="675"/>
      <c r="H17" s="145"/>
      <c r="I17" s="675"/>
      <c r="J17" s="675"/>
      <c r="K17" s="675"/>
      <c r="L17" s="675"/>
      <c r="M17" s="94"/>
    </row>
    <row r="18" spans="1:13">
      <c r="A18" s="225"/>
      <c r="B18" s="683"/>
      <c r="C18" s="681"/>
      <c r="D18" s="684"/>
      <c r="E18" s="675"/>
      <c r="F18" s="813"/>
      <c r="G18" s="675"/>
      <c r="H18" s="675"/>
      <c r="I18" s="675"/>
      <c r="J18" s="675"/>
      <c r="K18" s="675"/>
      <c r="L18" s="675"/>
      <c r="M18" s="94"/>
    </row>
    <row r="19" spans="1:13">
      <c r="A19" s="225"/>
      <c r="B19" s="683" t="s">
        <v>66</v>
      </c>
      <c r="C19" s="681"/>
      <c r="D19" s="844">
        <v>88</v>
      </c>
      <c r="E19" s="675"/>
      <c r="F19" s="796" t="s">
        <v>35</v>
      </c>
      <c r="G19" s="675"/>
      <c r="H19" s="145"/>
      <c r="I19" s="675"/>
      <c r="J19" s="675"/>
      <c r="K19" s="675"/>
      <c r="L19" s="675"/>
      <c r="M19" s="94"/>
    </row>
    <row r="20" spans="1:13">
      <c r="A20" s="225"/>
      <c r="B20" s="683"/>
      <c r="C20" s="681"/>
      <c r="D20" s="684"/>
      <c r="E20" s="675"/>
      <c r="F20" s="675"/>
      <c r="G20" s="675"/>
      <c r="H20" s="675"/>
      <c r="I20" s="675"/>
      <c r="J20" s="675"/>
      <c r="K20" s="675"/>
      <c r="L20" s="675"/>
      <c r="M20" s="94"/>
    </row>
    <row r="21" spans="1:13" ht="13">
      <c r="A21" s="225"/>
      <c r="B21" s="676"/>
      <c r="D21" s="78" t="s">
        <v>158</v>
      </c>
      <c r="E21" s="78"/>
      <c r="F21" s="78" t="s">
        <v>159</v>
      </c>
      <c r="G21" s="78"/>
      <c r="H21" s="78" t="s">
        <v>12</v>
      </c>
      <c r="I21" s="675"/>
      <c r="J21" s="675"/>
      <c r="K21" s="675"/>
      <c r="L21" s="675"/>
      <c r="M21" s="94"/>
    </row>
    <row r="22" spans="1:13">
      <c r="A22" s="225"/>
      <c r="B22" s="683"/>
      <c r="C22" s="681"/>
      <c r="D22" s="684"/>
      <c r="E22" s="675"/>
      <c r="F22" s="675"/>
      <c r="G22" s="675"/>
      <c r="H22" s="675"/>
      <c r="I22" s="675"/>
      <c r="J22" s="675"/>
      <c r="K22" s="675"/>
      <c r="L22" s="675"/>
      <c r="M22" s="94"/>
    </row>
    <row r="23" spans="1:13">
      <c r="A23" s="225"/>
      <c r="B23" s="680"/>
      <c r="C23" s="681"/>
      <c r="D23" s="685"/>
      <c r="E23" s="675"/>
      <c r="F23" s="686"/>
      <c r="G23" s="675"/>
      <c r="H23" s="145"/>
      <c r="I23" s="675"/>
      <c r="J23" s="675"/>
      <c r="K23" s="675"/>
      <c r="L23" s="675"/>
      <c r="M23" s="94"/>
    </row>
    <row r="24" spans="1:13" ht="13">
      <c r="A24" s="225"/>
      <c r="B24" s="21" t="s">
        <v>160</v>
      </c>
      <c r="C24" s="681"/>
      <c r="D24" s="684"/>
      <c r="E24" s="675"/>
      <c r="F24" s="675"/>
      <c r="G24" s="675"/>
      <c r="H24" s="145"/>
      <c r="I24" s="675"/>
      <c r="J24" s="675"/>
      <c r="K24" s="675"/>
      <c r="L24" s="675"/>
      <c r="M24" s="94"/>
    </row>
    <row r="25" spans="1:13" ht="13">
      <c r="A25" s="225"/>
      <c r="B25" s="683" t="s">
        <v>161</v>
      </c>
      <c r="C25" s="687"/>
      <c r="D25" s="767">
        <v>100000000</v>
      </c>
      <c r="E25" s="815"/>
      <c r="F25" s="796" t="s">
        <v>35</v>
      </c>
      <c r="G25" s="689"/>
      <c r="H25" s="688"/>
      <c r="I25" s="688"/>
      <c r="J25" s="688"/>
      <c r="K25" s="688"/>
      <c r="L25" s="675"/>
      <c r="M25" s="94"/>
    </row>
    <row r="26" spans="1:13">
      <c r="A26" s="225"/>
      <c r="B26" s="683" t="s">
        <v>162</v>
      </c>
      <c r="C26" s="681"/>
      <c r="D26" s="767">
        <v>100000000</v>
      </c>
      <c r="E26" s="816"/>
      <c r="F26" s="796" t="s">
        <v>35</v>
      </c>
      <c r="G26" s="675"/>
      <c r="I26" s="675"/>
      <c r="J26" s="675"/>
      <c r="K26" s="675"/>
      <c r="L26" s="675"/>
      <c r="M26" s="94"/>
    </row>
    <row r="27" spans="1:13">
      <c r="A27" s="225"/>
      <c r="B27" s="683" t="s">
        <v>163</v>
      </c>
      <c r="C27" s="681"/>
      <c r="D27" s="767">
        <v>100000000</v>
      </c>
      <c r="E27" s="816"/>
      <c r="F27" s="796" t="s">
        <v>35</v>
      </c>
      <c r="G27" s="675"/>
      <c r="H27" s="675"/>
      <c r="I27" s="675"/>
      <c r="J27" s="675"/>
      <c r="K27" s="675"/>
      <c r="L27" s="675"/>
      <c r="M27" s="94"/>
    </row>
    <row r="28" spans="1:13">
      <c r="A28" s="225"/>
      <c r="B28" s="683"/>
      <c r="C28" s="681"/>
      <c r="D28" s="675"/>
      <c r="E28" s="675"/>
      <c r="F28" s="675"/>
      <c r="G28" s="675"/>
      <c r="H28" s="675"/>
      <c r="I28" s="675"/>
      <c r="J28" s="675"/>
      <c r="K28" s="675"/>
      <c r="L28" s="675"/>
      <c r="M28" s="94"/>
    </row>
    <row r="29" spans="1:13" ht="13">
      <c r="A29" s="225"/>
      <c r="B29" s="21" t="s">
        <v>247</v>
      </c>
      <c r="C29" s="681"/>
      <c r="D29" s="675"/>
      <c r="E29" s="675"/>
      <c r="F29" s="682"/>
      <c r="G29" s="675"/>
      <c r="H29" s="145" t="s">
        <v>43</v>
      </c>
      <c r="I29" s="675"/>
      <c r="J29" s="675"/>
      <c r="K29" s="675"/>
      <c r="L29" s="675"/>
      <c r="M29" s="94"/>
    </row>
    <row r="30" spans="1:13">
      <c r="A30" s="225"/>
      <c r="C30" s="681"/>
      <c r="D30" s="675"/>
      <c r="E30" s="675"/>
      <c r="F30" s="682"/>
      <c r="G30" s="675"/>
      <c r="H30" s="145"/>
      <c r="I30" s="675"/>
      <c r="J30" s="675"/>
      <c r="K30" s="675"/>
      <c r="L30" s="675"/>
      <c r="M30" s="94"/>
    </row>
    <row r="31" spans="1:13" ht="13">
      <c r="A31" s="225"/>
      <c r="B31" s="21" t="s">
        <v>285</v>
      </c>
      <c r="C31" s="681"/>
      <c r="D31" s="675"/>
      <c r="E31" s="675"/>
      <c r="F31" s="682"/>
      <c r="G31" s="675"/>
      <c r="H31" s="145" t="s">
        <v>43</v>
      </c>
      <c r="I31" s="675"/>
      <c r="J31" s="675"/>
      <c r="K31" s="675"/>
      <c r="L31" s="675"/>
      <c r="M31" s="94"/>
    </row>
    <row r="32" spans="1:13" ht="13">
      <c r="A32" s="225"/>
      <c r="B32" s="21"/>
      <c r="C32" s="681"/>
      <c r="D32" s="675"/>
      <c r="E32" s="675"/>
      <c r="F32" s="682"/>
      <c r="G32" s="675"/>
      <c r="H32" s="145"/>
      <c r="I32" s="675"/>
      <c r="J32" s="675"/>
      <c r="K32" s="675"/>
      <c r="L32" s="675"/>
      <c r="M32" s="94"/>
    </row>
    <row r="33" spans="1:13" ht="13">
      <c r="A33" s="225"/>
      <c r="B33" s="21" t="s">
        <v>759</v>
      </c>
      <c r="C33" s="681"/>
      <c r="D33" s="675"/>
      <c r="E33" s="675"/>
      <c r="F33" s="682"/>
      <c r="G33" s="675"/>
      <c r="H33" s="145"/>
      <c r="I33" s="675"/>
      <c r="J33" s="675"/>
      <c r="K33" s="675"/>
      <c r="L33" s="675"/>
      <c r="M33" s="94"/>
    </row>
    <row r="34" spans="1:13">
      <c r="A34" s="225"/>
      <c r="B34" s="683" t="s">
        <v>760</v>
      </c>
      <c r="C34" s="681"/>
      <c r="D34" s="840">
        <v>0.23</v>
      </c>
      <c r="E34" s="675"/>
      <c r="F34" s="686">
        <f>1-('5. Outstanding Notes'!D27/'1. Portfolio Information'!F15)</f>
        <v>0.16211635165774074</v>
      </c>
      <c r="G34" s="675"/>
      <c r="H34" s="145" t="str">
        <f>IF(F34&lt;D34,"Sequential Payment","Pro Rata Payment")</f>
        <v>Sequential Payment</v>
      </c>
      <c r="I34" s="675"/>
      <c r="J34" s="675"/>
      <c r="K34" s="675"/>
      <c r="L34" s="675"/>
      <c r="M34" s="94"/>
    </row>
    <row r="35" spans="1:13">
      <c r="A35" s="225"/>
      <c r="C35" s="681"/>
      <c r="D35" s="675"/>
      <c r="E35" s="675"/>
      <c r="F35" s="682"/>
      <c r="G35" s="675"/>
      <c r="H35" s="145"/>
      <c r="I35" s="675"/>
      <c r="J35" s="675"/>
      <c r="K35" s="675"/>
      <c r="L35" s="675"/>
      <c r="M35" s="94"/>
    </row>
    <row r="36" spans="1:13" ht="13">
      <c r="A36" s="225"/>
      <c r="B36" s="90" t="s">
        <v>286</v>
      </c>
      <c r="C36" s="681"/>
      <c r="D36" s="675"/>
      <c r="E36" s="675"/>
      <c r="F36" s="675"/>
      <c r="G36" s="675"/>
      <c r="H36" s="145" t="s">
        <v>43</v>
      </c>
      <c r="I36" s="675"/>
      <c r="J36" s="675"/>
      <c r="K36" s="675"/>
      <c r="L36" s="675"/>
      <c r="M36" s="94"/>
    </row>
    <row r="37" spans="1:13" ht="14" customHeight="1">
      <c r="A37" s="225"/>
      <c r="B37" s="683" t="s">
        <v>246</v>
      </c>
      <c r="C37" s="681"/>
      <c r="E37" s="675"/>
      <c r="F37" s="675"/>
      <c r="G37" s="675"/>
      <c r="H37" s="675"/>
      <c r="I37" s="675"/>
      <c r="J37" s="675"/>
      <c r="K37" s="675"/>
      <c r="L37" s="675"/>
      <c r="M37" s="94"/>
    </row>
    <row r="38" spans="1:13" ht="14" customHeight="1">
      <c r="A38" s="225"/>
      <c r="B38" s="680" t="s">
        <v>778</v>
      </c>
      <c r="C38" s="681"/>
      <c r="D38" s="685">
        <v>0.01</v>
      </c>
      <c r="E38" s="675"/>
      <c r="F38" s="892">
        <f>VLOOKUP(F4,'3.3 Defaults &amp; Recoveries p.p.'!B20:K100,10,FALSE)</f>
        <v>8.27246490465652E-3</v>
      </c>
      <c r="G38" s="675"/>
      <c r="H38" s="145" t="str">
        <f>IF(NOT(ISNUMBER(F$38)),"no",IF(AND(F38&gt;D38,$H$7&lt;=DATE(2025,5,31)),"yes","no"))</f>
        <v>no</v>
      </c>
      <c r="I38" s="675"/>
      <c r="J38" s="675"/>
      <c r="K38" s="675"/>
      <c r="L38" s="675"/>
      <c r="M38" s="94"/>
    </row>
    <row r="39" spans="1:13" ht="14" customHeight="1">
      <c r="A39" s="225"/>
      <c r="B39" s="680" t="s">
        <v>779</v>
      </c>
      <c r="C39" s="681"/>
      <c r="D39" s="685">
        <v>2.2499999999999999E-2</v>
      </c>
      <c r="E39" s="675"/>
      <c r="F39" s="892"/>
      <c r="G39" s="675"/>
      <c r="H39" s="145" t="str">
        <f>IF(NOT(ISNUMBER(F38)),"no",IF(AND(F38&gt;D39,$H$7&lt;=DATE(2025,11,30)),"yes","no"))</f>
        <v>no</v>
      </c>
      <c r="I39" s="675"/>
      <c r="J39" s="675"/>
      <c r="K39" s="675"/>
      <c r="L39" s="675"/>
      <c r="M39" s="94"/>
    </row>
    <row r="40" spans="1:13" ht="14" customHeight="1">
      <c r="A40" s="225"/>
      <c r="B40" s="680" t="s">
        <v>780</v>
      </c>
      <c r="C40" s="681"/>
      <c r="D40" s="685">
        <v>3.5000000000000003E-2</v>
      </c>
      <c r="E40" s="675"/>
      <c r="F40" s="892"/>
      <c r="G40" s="675"/>
      <c r="H40" s="145" t="str">
        <f>IF(NOT(ISNUMBER(F38)),"no",IF(AND(F38&gt;D40,$H$7&lt;=DATE(2026,5,31)),"yes","no"))</f>
        <v>no</v>
      </c>
      <c r="I40" s="675"/>
      <c r="J40" s="675"/>
      <c r="K40" s="675"/>
      <c r="L40" s="675"/>
      <c r="M40" s="94"/>
    </row>
    <row r="41" spans="1:13" ht="14" customHeight="1">
      <c r="A41" s="225"/>
      <c r="B41" s="680" t="s">
        <v>781</v>
      </c>
      <c r="C41" s="681"/>
      <c r="D41" s="685">
        <v>4.7500000000000001E-2</v>
      </c>
      <c r="E41" s="675"/>
      <c r="F41" s="892"/>
      <c r="G41" s="675"/>
      <c r="H41" s="145" t="str">
        <f>IF(NOT(ISNUMBER(F38)),"no",IF(AND(F38&gt;D41,$H$7&lt;=DATE(2026,11,30)),"yes","no"))</f>
        <v>no</v>
      </c>
      <c r="I41" s="675"/>
      <c r="J41" s="675"/>
      <c r="K41" s="675"/>
      <c r="L41" s="675"/>
      <c r="M41" s="94"/>
    </row>
    <row r="42" spans="1:13" ht="14" customHeight="1">
      <c r="A42" s="225"/>
      <c r="B42" s="680" t="s">
        <v>782</v>
      </c>
      <c r="C42" s="681"/>
      <c r="D42" s="685">
        <v>0.06</v>
      </c>
      <c r="E42" s="675"/>
      <c r="F42" s="892"/>
      <c r="G42" s="675"/>
      <c r="H42" s="145" t="str">
        <f>IF(NOT(ISNUMBER(F38)),"no",IF(AND(F38&gt;D42,$H$7&lt;=DATE(2031,8,31)),"yes","no"))</f>
        <v>no</v>
      </c>
      <c r="I42" s="675"/>
      <c r="J42" s="675"/>
      <c r="K42" s="675"/>
      <c r="L42" s="675"/>
      <c r="M42" s="94"/>
    </row>
    <row r="43" spans="1:13" ht="14" customHeight="1">
      <c r="A43" s="225"/>
      <c r="B43" s="683" t="s">
        <v>404</v>
      </c>
      <c r="C43" s="690"/>
      <c r="D43" s="838">
        <f>0.5%*'5. Outstanding Notes'!C22</f>
        <v>5000000</v>
      </c>
      <c r="E43" s="73"/>
      <c r="F43" s="814">
        <f>'3.2 Default Data'!F62+'3.2 Default Data'!F68</f>
        <v>0</v>
      </c>
      <c r="G43" s="73"/>
      <c r="H43" s="145" t="str">
        <f>IF(NOT(ISNUMBER(F43)),"no",IF(F43&gt;D43,"yes","no"))</f>
        <v>no</v>
      </c>
      <c r="I43" s="675"/>
      <c r="J43" s="675"/>
      <c r="K43" s="675"/>
      <c r="L43" s="675"/>
      <c r="M43" s="94"/>
    </row>
    <row r="44" spans="1:13" ht="28" customHeight="1">
      <c r="A44" s="225"/>
      <c r="B44" s="692" t="s">
        <v>407</v>
      </c>
      <c r="C44" s="693">
        <v>0.1</v>
      </c>
      <c r="D44" s="685"/>
      <c r="E44" s="675"/>
      <c r="F44" s="686">
        <f>'1. Portfolio Information'!F28/'1.1 Portfolio Information p.p.'!C15</f>
        <v>0.94410627747305498</v>
      </c>
      <c r="G44" s="675"/>
      <c r="H44" s="145" t="str">
        <f>IF(NOT(ISNUMBER(F44)),"no",IF(F44&lt;C44,"yes","no"))</f>
        <v>no</v>
      </c>
      <c r="I44" s="675"/>
      <c r="J44" s="675"/>
      <c r="K44" s="675"/>
      <c r="L44" s="675"/>
      <c r="M44" s="94"/>
    </row>
    <row r="45" spans="1:13" ht="14" customHeight="1">
      <c r="A45" s="225"/>
      <c r="B45" s="692" t="s">
        <v>408</v>
      </c>
      <c r="C45" s="693"/>
      <c r="D45" s="685">
        <v>4.1999999999999997E-3</v>
      </c>
      <c r="E45" s="675"/>
      <c r="F45" s="686">
        <f>'3.3 Defaults &amp; Recoveries p.p.'!L17</f>
        <v>2.223977951255251E-3</v>
      </c>
      <c r="G45" s="675"/>
      <c r="H45" s="145" t="str">
        <f>IF(OR(F45&lt;D45,F45="n/a"),"no","yes")</f>
        <v>no</v>
      </c>
      <c r="I45" s="675"/>
      <c r="J45" s="675"/>
      <c r="K45" s="675"/>
      <c r="L45" s="675"/>
      <c r="M45" s="94"/>
    </row>
    <row r="46" spans="1:13" ht="14" customHeight="1">
      <c r="A46" s="225"/>
      <c r="B46" s="680" t="s">
        <v>399</v>
      </c>
      <c r="C46" s="681"/>
      <c r="D46" s="685"/>
      <c r="E46" s="675"/>
      <c r="F46" s="686"/>
      <c r="G46" s="675"/>
      <c r="H46" s="145" t="s">
        <v>43</v>
      </c>
      <c r="I46" s="675"/>
      <c r="J46" s="675"/>
      <c r="K46" s="675"/>
      <c r="L46" s="675"/>
      <c r="M46" s="94"/>
    </row>
    <row r="47" spans="1:13" ht="14" customHeight="1">
      <c r="A47" s="225"/>
      <c r="B47" s="149" t="s">
        <v>302</v>
      </c>
      <c r="C47" s="681"/>
      <c r="D47" s="675"/>
      <c r="E47" s="675"/>
      <c r="F47" s="675"/>
      <c r="G47" s="675"/>
      <c r="H47" s="145" t="s">
        <v>43</v>
      </c>
      <c r="I47" s="675"/>
      <c r="J47" s="675"/>
      <c r="K47" s="675"/>
      <c r="L47" s="675"/>
      <c r="M47" s="94"/>
    </row>
    <row r="48" spans="1:13" ht="14" customHeight="1">
      <c r="A48" s="225"/>
      <c r="B48" s="683" t="s">
        <v>304</v>
      </c>
      <c r="C48" s="681"/>
      <c r="D48" s="675"/>
      <c r="E48" s="675"/>
      <c r="F48" s="675"/>
      <c r="G48" s="675"/>
      <c r="H48" s="145" t="s">
        <v>43</v>
      </c>
      <c r="I48" s="675"/>
      <c r="J48" s="675"/>
      <c r="K48" s="675"/>
      <c r="L48" s="675"/>
      <c r="M48" s="94"/>
    </row>
    <row r="49" spans="1:13">
      <c r="A49" s="225"/>
      <c r="B49" s="683"/>
      <c r="C49" s="681"/>
      <c r="D49" s="675"/>
      <c r="E49" s="675"/>
      <c r="F49" s="675"/>
      <c r="G49" s="675"/>
      <c r="H49" s="675"/>
      <c r="I49" s="675"/>
      <c r="J49" s="675"/>
      <c r="K49" s="675"/>
      <c r="L49" s="675"/>
      <c r="M49" s="94"/>
    </row>
    <row r="50" spans="1:13" ht="13">
      <c r="A50" s="225"/>
      <c r="B50" s="21" t="s">
        <v>303</v>
      </c>
      <c r="C50" s="21"/>
      <c r="D50" s="694"/>
      <c r="E50" s="21"/>
      <c r="F50" s="695"/>
      <c r="G50" s="21"/>
      <c r="H50" s="145"/>
      <c r="I50" s="675"/>
      <c r="J50" s="675"/>
      <c r="K50" s="675"/>
      <c r="L50" s="675"/>
      <c r="M50" s="94"/>
    </row>
    <row r="51" spans="1:13" ht="14" customHeight="1">
      <c r="A51" s="225"/>
      <c r="B51" s="683" t="s">
        <v>246</v>
      </c>
      <c r="C51" s="681"/>
      <c r="E51" s="675"/>
      <c r="F51" s="675"/>
      <c r="G51" s="675"/>
      <c r="H51" s="675"/>
      <c r="J51" s="696"/>
      <c r="L51" s="697"/>
      <c r="M51" s="94"/>
    </row>
    <row r="52" spans="1:13" ht="14" customHeight="1">
      <c r="A52" s="225"/>
      <c r="B52" s="680" t="s">
        <v>777</v>
      </c>
      <c r="C52" s="681"/>
      <c r="D52" s="685">
        <v>0.01</v>
      </c>
      <c r="E52" s="675"/>
      <c r="F52" s="796" t="s">
        <v>35</v>
      </c>
      <c r="G52" s="675"/>
      <c r="H52" s="145"/>
      <c r="M52" s="94"/>
    </row>
    <row r="53" spans="1:13" ht="14" customHeight="1">
      <c r="A53" s="225"/>
      <c r="B53" s="698" t="s">
        <v>160</v>
      </c>
      <c r="C53" s="5"/>
      <c r="D53" s="699"/>
      <c r="F53" s="700"/>
      <c r="H53" s="145"/>
      <c r="M53" s="94"/>
    </row>
    <row r="54" spans="1:13" ht="14" customHeight="1">
      <c r="A54" s="225"/>
      <c r="B54" s="22" t="s">
        <v>304</v>
      </c>
      <c r="C54" s="21"/>
      <c r="D54" s="694"/>
      <c r="E54" s="21"/>
      <c r="F54" s="695"/>
      <c r="G54" s="21"/>
      <c r="H54" s="145"/>
      <c r="J54" s="696"/>
      <c r="L54" s="696"/>
      <c r="M54" s="94"/>
    </row>
    <row r="55" spans="1:13" ht="14" customHeight="1">
      <c r="A55" s="225"/>
      <c r="B55" s="22" t="s">
        <v>285</v>
      </c>
      <c r="H55" s="5"/>
      <c r="J55" s="696"/>
      <c r="L55" s="696"/>
      <c r="M55" s="94"/>
    </row>
    <row r="56" spans="1:13" ht="14" customHeight="1">
      <c r="A56" s="225"/>
      <c r="B56" s="22" t="s">
        <v>754</v>
      </c>
      <c r="D56" s="691"/>
      <c r="E56" s="73"/>
      <c r="F56" s="691"/>
      <c r="G56" s="73"/>
      <c r="H56" s="145"/>
      <c r="J56" s="701"/>
      <c r="L56" s="701"/>
      <c r="M56" s="94"/>
    </row>
    <row r="57" spans="1:13" ht="14" customHeight="1">
      <c r="A57" s="225"/>
      <c r="B57" s="683" t="s">
        <v>162</v>
      </c>
      <c r="D57" s="890">
        <v>2.5000000000000001E-3</v>
      </c>
      <c r="F57" s="796" t="s">
        <v>35</v>
      </c>
      <c r="H57" s="891"/>
      <c r="J57" s="702"/>
      <c r="L57" s="109"/>
      <c r="M57" s="94"/>
    </row>
    <row r="58" spans="1:13" ht="14" customHeight="1">
      <c r="A58" s="225"/>
      <c r="B58" s="683" t="s">
        <v>163</v>
      </c>
      <c r="D58" s="890"/>
      <c r="F58" s="796" t="s">
        <v>35</v>
      </c>
      <c r="H58" s="891"/>
      <c r="M58" s="94"/>
    </row>
    <row r="59" spans="1:13">
      <c r="A59" s="225"/>
      <c r="D59" s="109"/>
      <c r="F59" s="109"/>
      <c r="M59" s="94"/>
    </row>
    <row r="60" spans="1:13" ht="18" customHeight="1">
      <c r="A60" s="225"/>
      <c r="B60" s="226"/>
      <c r="D60" s="109"/>
      <c r="F60" s="109"/>
      <c r="M60" s="94"/>
    </row>
    <row r="61" spans="1:13" ht="12.75" customHeight="1">
      <c r="A61" s="225"/>
      <c r="D61" s="703"/>
      <c r="F61" s="109"/>
      <c r="M61" s="94"/>
    </row>
    <row r="62" spans="1:13" ht="12.75" customHeight="1">
      <c r="A62" s="225"/>
      <c r="D62" s="703"/>
      <c r="F62" s="109"/>
      <c r="M62" s="94"/>
    </row>
    <row r="63" spans="1:13">
      <c r="A63" s="225"/>
      <c r="D63" s="704"/>
      <c r="F63" s="109"/>
      <c r="M63" s="94"/>
    </row>
    <row r="64" spans="1:13" ht="5.25" customHeight="1">
      <c r="A64" s="225"/>
      <c r="D64" s="705"/>
      <c r="F64" s="109"/>
      <c r="M64" s="94"/>
    </row>
    <row r="65" spans="1:13">
      <c r="A65" s="225"/>
      <c r="B65" s="822" t="s">
        <v>733</v>
      </c>
      <c r="D65" s="705"/>
      <c r="F65" s="109"/>
      <c r="M65" s="94"/>
    </row>
    <row r="66" spans="1:13">
      <c r="A66" s="285"/>
      <c r="B66" s="35"/>
      <c r="C66" s="706"/>
      <c r="D66" s="707"/>
      <c r="E66" s="707"/>
      <c r="F66" s="707"/>
      <c r="G66" s="707"/>
      <c r="H66" s="707"/>
      <c r="I66" s="707"/>
      <c r="J66" s="707"/>
      <c r="K66" s="707"/>
      <c r="L66" s="707"/>
      <c r="M66" s="95"/>
    </row>
    <row r="67" spans="1:13">
      <c r="D67" s="705"/>
      <c r="F67" s="109"/>
    </row>
    <row r="68" spans="1:13">
      <c r="D68" s="705"/>
      <c r="F68" s="109"/>
    </row>
    <row r="69" spans="1:13">
      <c r="D69" s="705"/>
      <c r="F69" s="109"/>
    </row>
    <row r="70" spans="1:13">
      <c r="D70" s="708"/>
      <c r="F70" s="109"/>
    </row>
    <row r="71" spans="1:13">
      <c r="D71" s="708"/>
      <c r="F71" s="109"/>
    </row>
    <row r="72" spans="1:13">
      <c r="D72" s="705"/>
    </row>
    <row r="73" spans="1:13">
      <c r="D73" s="705"/>
    </row>
    <row r="74" spans="1:13" ht="12.75" customHeight="1">
      <c r="D74" s="109"/>
    </row>
    <row r="76" spans="1:13">
      <c r="H76" s="252"/>
    </row>
    <row r="77" spans="1:13">
      <c r="H77" s="252"/>
    </row>
    <row r="79" spans="1:13">
      <c r="C79" s="293"/>
      <c r="D79" s="639"/>
      <c r="F79" s="639"/>
      <c r="H79" s="252"/>
    </row>
    <row r="80" spans="1:13">
      <c r="C80" s="293"/>
      <c r="D80" s="639"/>
      <c r="F80" s="639"/>
    </row>
    <row r="82" spans="3:6">
      <c r="C82" s="293"/>
      <c r="D82" s="293"/>
      <c r="E82" s="293"/>
      <c r="F82" s="293"/>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0"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2024-2</v>
      </c>
      <c r="D2" s="227" t="s">
        <v>50</v>
      </c>
      <c r="E2" s="228"/>
      <c r="F2" s="229">
        <f>'Cover Sheet'!F2</f>
        <v>45848</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45852</v>
      </c>
      <c r="G3" s="233"/>
      <c r="H3" s="233"/>
      <c r="I3" s="233"/>
      <c r="J3" s="233"/>
      <c r="K3" s="233"/>
      <c r="L3" s="233"/>
      <c r="M3" s="233"/>
      <c r="N3" s="233"/>
      <c r="O3" s="233"/>
      <c r="P3" s="233"/>
      <c r="Q3" s="235"/>
      <c r="R3" s="94"/>
      <c r="S3" s="38"/>
    </row>
    <row r="4" spans="1:20">
      <c r="A4" s="225"/>
      <c r="B4" s="236"/>
      <c r="D4" s="232" t="s">
        <v>3</v>
      </c>
      <c r="E4" s="233"/>
      <c r="F4" s="237">
        <f>'Cover Sheet'!F4</f>
        <v>8</v>
      </c>
      <c r="G4" s="233"/>
      <c r="H4" s="233"/>
      <c r="I4" s="233"/>
      <c r="J4" s="233"/>
      <c r="K4" s="233"/>
      <c r="L4" s="238"/>
      <c r="M4" s="238"/>
      <c r="N4" s="238"/>
      <c r="O4" s="233"/>
      <c r="P4" s="233"/>
      <c r="Q4" s="239"/>
      <c r="R4" s="94"/>
      <c r="S4" s="38"/>
    </row>
    <row r="5" spans="1:20" ht="18">
      <c r="A5" s="225"/>
      <c r="B5" s="240" t="s">
        <v>139</v>
      </c>
      <c r="D5" s="232" t="s">
        <v>1</v>
      </c>
      <c r="E5" s="233"/>
      <c r="F5" s="130">
        <f>'Cover Sheet'!F5</f>
        <v>45852</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45824</v>
      </c>
      <c r="G6" s="243" t="str">
        <f>'Cover Sheet'!G6</f>
        <v>to</v>
      </c>
      <c r="H6" s="234">
        <f>'Cover Sheet'!H6</f>
        <v>45852</v>
      </c>
      <c r="I6" s="243" t="str">
        <f>'Cover Sheet'!I6</f>
        <v>=</v>
      </c>
      <c r="J6" s="601" t="str">
        <f>'Cover Sheet'!J6</f>
        <v>28 days</v>
      </c>
      <c r="K6" s="243"/>
      <c r="L6" s="234"/>
      <c r="M6" s="234"/>
      <c r="N6" s="234"/>
      <c r="O6" s="243"/>
      <c r="P6" s="243"/>
      <c r="Q6" s="327"/>
      <c r="R6" s="295"/>
      <c r="S6" s="22"/>
      <c r="T6" s="296"/>
    </row>
    <row r="7" spans="1:20">
      <c r="A7" s="225"/>
      <c r="D7" s="602" t="s">
        <v>111</v>
      </c>
      <c r="E7" s="603" t="s">
        <v>34</v>
      </c>
      <c r="F7" s="247" t="str">
        <f>'Cover Sheet'!F7</f>
        <v>01.06.2025</v>
      </c>
      <c r="G7" s="603" t="str">
        <f>'Cover Sheet'!G7</f>
        <v>to</v>
      </c>
      <c r="H7" s="247">
        <f>'Cover Sheet'!H7</f>
        <v>45838</v>
      </c>
      <c r="I7" s="603"/>
      <c r="J7" s="603"/>
      <c r="K7" s="603"/>
      <c r="L7" s="247"/>
      <c r="M7" s="247"/>
      <c r="N7" s="247"/>
      <c r="O7" s="248"/>
      <c r="P7" s="248"/>
      <c r="Q7" s="249"/>
      <c r="R7" s="94"/>
      <c r="S7" s="38"/>
    </row>
    <row r="8" spans="1:20" ht="13">
      <c r="A8" s="225"/>
      <c r="D8" s="231"/>
      <c r="E8" s="5"/>
      <c r="F8" s="231"/>
      <c r="L8" s="250"/>
      <c r="M8" s="250"/>
      <c r="N8" s="250"/>
      <c r="R8" s="94"/>
    </row>
    <row r="9" spans="1:20" ht="13">
      <c r="A9" s="225"/>
      <c r="B9" s="604"/>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05" t="s">
        <v>7</v>
      </c>
      <c r="D13" s="605" t="s">
        <v>5</v>
      </c>
      <c r="E13" s="605"/>
      <c r="F13" s="605" t="s">
        <v>6</v>
      </c>
      <c r="G13" s="605"/>
      <c r="H13" s="605" t="s">
        <v>181</v>
      </c>
      <c r="I13" s="605"/>
      <c r="J13" s="605" t="s">
        <v>182</v>
      </c>
      <c r="K13" s="605"/>
      <c r="L13" s="605" t="s">
        <v>183</v>
      </c>
      <c r="M13" s="605"/>
      <c r="N13" s="605" t="s">
        <v>226</v>
      </c>
      <c r="O13" s="605"/>
      <c r="P13" s="605"/>
      <c r="Q13" s="605"/>
      <c r="R13" s="94"/>
      <c r="S13" s="606"/>
    </row>
    <row r="14" spans="1:20" ht="12.75" customHeight="1">
      <c r="A14" s="225"/>
      <c r="B14" s="607" t="s">
        <v>16</v>
      </c>
      <c r="C14" s="608"/>
      <c r="D14" s="608"/>
      <c r="E14" s="608"/>
      <c r="F14" s="608"/>
      <c r="G14" s="608"/>
      <c r="H14" s="608"/>
      <c r="I14" s="608"/>
      <c r="J14" s="608"/>
      <c r="K14" s="608"/>
      <c r="L14" s="608"/>
      <c r="M14" s="608"/>
      <c r="N14" s="608"/>
      <c r="O14" s="608"/>
      <c r="P14" s="608"/>
      <c r="Q14" s="609"/>
      <c r="R14" s="94"/>
      <c r="S14" s="606"/>
    </row>
    <row r="15" spans="1:20" ht="14.25" customHeight="1">
      <c r="A15" s="225"/>
      <c r="B15" s="225" t="s">
        <v>17</v>
      </c>
      <c r="C15" s="610"/>
      <c r="D15" s="108" t="s">
        <v>763</v>
      </c>
      <c r="E15" s="5"/>
      <c r="F15" s="81" t="s">
        <v>764</v>
      </c>
      <c r="G15" s="108"/>
      <c r="H15" s="81" t="s">
        <v>765</v>
      </c>
      <c r="I15" s="108"/>
      <c r="J15" s="81" t="s">
        <v>766</v>
      </c>
      <c r="K15" s="108"/>
      <c r="L15" s="81" t="s">
        <v>767</v>
      </c>
      <c r="M15" s="611"/>
      <c r="N15" s="81" t="s">
        <v>768</v>
      </c>
      <c r="O15" s="108"/>
      <c r="P15" s="610"/>
      <c r="Q15" s="612"/>
      <c r="R15" s="94"/>
      <c r="S15" s="606"/>
    </row>
    <row r="16" spans="1:20" ht="14.25" customHeight="1">
      <c r="A16" s="225"/>
      <c r="B16" s="225" t="s">
        <v>57</v>
      </c>
      <c r="C16" s="610"/>
      <c r="D16" s="108" t="s">
        <v>55</v>
      </c>
      <c r="E16" s="108"/>
      <c r="F16" s="108" t="s">
        <v>55</v>
      </c>
      <c r="G16" s="613"/>
      <c r="H16" s="108" t="s">
        <v>55</v>
      </c>
      <c r="I16" s="613"/>
      <c r="J16" s="108" t="s">
        <v>55</v>
      </c>
      <c r="K16" s="613"/>
      <c r="L16" s="108" t="s">
        <v>55</v>
      </c>
      <c r="M16" s="108"/>
      <c r="N16" s="108" t="s">
        <v>55</v>
      </c>
      <c r="O16" s="613"/>
      <c r="P16" s="610"/>
      <c r="Q16" s="612"/>
      <c r="R16" s="94"/>
      <c r="S16" s="606"/>
    </row>
    <row r="17" spans="1:20" ht="13">
      <c r="A17" s="225"/>
      <c r="B17" s="225" t="s">
        <v>18</v>
      </c>
      <c r="C17" s="109" t="s">
        <v>8</v>
      </c>
      <c r="D17" s="614">
        <f>D22/$C$22</f>
        <v>0.84250000000000003</v>
      </c>
      <c r="E17" s="614"/>
      <c r="F17" s="614">
        <f>F22/$C$22</f>
        <v>0.06</v>
      </c>
      <c r="G17" s="614"/>
      <c r="H17" s="614">
        <f>H22/$C$22</f>
        <v>3.2500000000000001E-2</v>
      </c>
      <c r="I17" s="614"/>
      <c r="J17" s="614">
        <f>J22/$C$22</f>
        <v>2.75E-2</v>
      </c>
      <c r="K17" s="614"/>
      <c r="L17" s="614">
        <f>L22/$C$22</f>
        <v>2.75E-2</v>
      </c>
      <c r="M17" s="614"/>
      <c r="N17" s="614">
        <f>N22/$C$22</f>
        <v>0.01</v>
      </c>
      <c r="O17" s="614"/>
      <c r="P17" s="615"/>
      <c r="Q17" s="616"/>
      <c r="R17" s="94"/>
      <c r="S17" s="617"/>
    </row>
    <row r="18" spans="1:20" ht="13">
      <c r="A18" s="225"/>
      <c r="B18" s="225" t="s">
        <v>140</v>
      </c>
      <c r="C18" s="109"/>
      <c r="D18" s="611">
        <v>50539</v>
      </c>
      <c r="E18" s="5"/>
      <c r="F18" s="611">
        <v>50539</v>
      </c>
      <c r="G18" s="108"/>
      <c r="H18" s="611">
        <v>50539</v>
      </c>
      <c r="I18" s="108"/>
      <c r="J18" s="611">
        <v>50539</v>
      </c>
      <c r="K18" s="108"/>
      <c r="L18" s="611">
        <v>50539</v>
      </c>
      <c r="M18" s="611"/>
      <c r="N18" s="611">
        <v>50539</v>
      </c>
      <c r="O18" s="108"/>
      <c r="P18" s="615"/>
      <c r="Q18" s="616"/>
      <c r="R18" s="94"/>
      <c r="S18" s="617"/>
    </row>
    <row r="19" spans="1:20" ht="13">
      <c r="A19" s="225"/>
      <c r="B19" s="225" t="s">
        <v>169</v>
      </c>
      <c r="C19" s="109"/>
      <c r="D19" s="611">
        <v>47831</v>
      </c>
      <c r="E19" s="5"/>
      <c r="F19" s="611">
        <v>47831</v>
      </c>
      <c r="G19" s="108"/>
      <c r="H19" s="611">
        <v>47831</v>
      </c>
      <c r="I19" s="108"/>
      <c r="J19" s="611">
        <v>47831</v>
      </c>
      <c r="K19" s="108"/>
      <c r="L19" s="611">
        <v>47831</v>
      </c>
      <c r="M19" s="611"/>
      <c r="N19" s="611">
        <v>46340</v>
      </c>
      <c r="O19" s="108"/>
      <c r="P19" s="615"/>
      <c r="Q19" s="616"/>
      <c r="R19" s="94"/>
      <c r="S19" s="617"/>
    </row>
    <row r="20" spans="1:20" ht="13">
      <c r="A20" s="225"/>
      <c r="B20" s="225" t="s">
        <v>769</v>
      </c>
      <c r="C20" s="109"/>
      <c r="D20" s="108" t="s">
        <v>771</v>
      </c>
      <c r="E20" s="108"/>
      <c r="F20" s="108" t="s">
        <v>772</v>
      </c>
      <c r="G20" s="108"/>
      <c r="H20" s="108" t="s">
        <v>773</v>
      </c>
      <c r="I20" s="108"/>
      <c r="J20" s="108" t="s">
        <v>774</v>
      </c>
      <c r="K20" s="108"/>
      <c r="L20" s="108" t="s">
        <v>775</v>
      </c>
      <c r="M20" s="108"/>
      <c r="N20" s="108" t="s">
        <v>776</v>
      </c>
      <c r="O20" s="108"/>
      <c r="P20" s="615"/>
      <c r="Q20" s="616"/>
      <c r="R20" s="94"/>
      <c r="S20" s="617"/>
    </row>
    <row r="21" spans="1:20" ht="13">
      <c r="A21" s="225"/>
      <c r="B21" s="225" t="s">
        <v>770</v>
      </c>
      <c r="C21" s="618" t="s">
        <v>702</v>
      </c>
      <c r="D21" s="108" t="str">
        <f>VLOOKUP(D15,ratings,18,0)</f>
        <v>AAA (sf)/AAA (sf)</v>
      </c>
      <c r="E21" s="108"/>
      <c r="F21" s="108" t="str">
        <f>VLOOKUP(F15,ratings,18,0)</f>
        <v>AA (sf)/AA- (sf)</v>
      </c>
      <c r="G21" s="108"/>
      <c r="H21" s="108" t="str">
        <f>VLOOKUP(H15,ratings,18,0)</f>
        <v>A (high) (sf)/A (sf)</v>
      </c>
      <c r="I21" s="108"/>
      <c r="J21" s="108" t="str">
        <f>VLOOKUP(J15,ratings,18,0)</f>
        <v>A (sf)/BBB (sf)</v>
      </c>
      <c r="K21" s="108"/>
      <c r="L21" s="108" t="str">
        <f>VLOOKUP(L15,ratings,18,0)</f>
        <v>BBB (sf)/BB+ (sf)</v>
      </c>
      <c r="M21" s="108"/>
      <c r="N21" s="108" t="str">
        <f>VLOOKUP(N15,ratings,18,0)</f>
        <v>BBB (sf)/BBB (sf)</v>
      </c>
      <c r="O21" s="108"/>
      <c r="P21" s="615"/>
      <c r="Q21" s="616"/>
      <c r="R21" s="94"/>
      <c r="S21" s="617"/>
    </row>
    <row r="22" spans="1:20">
      <c r="A22" s="225"/>
      <c r="B22" s="225" t="s">
        <v>45</v>
      </c>
      <c r="C22" s="825">
        <f>SUM(D22:O22)</f>
        <v>1000000000</v>
      </c>
      <c r="D22" s="826">
        <v>842500000</v>
      </c>
      <c r="E22" s="108"/>
      <c r="F22" s="826">
        <v>60000000</v>
      </c>
      <c r="G22" s="108"/>
      <c r="H22" s="826">
        <v>32500000</v>
      </c>
      <c r="I22" s="108"/>
      <c r="J22" s="826">
        <v>27500000</v>
      </c>
      <c r="K22" s="108"/>
      <c r="L22" s="826">
        <v>27500000</v>
      </c>
      <c r="M22" s="108"/>
      <c r="N22" s="826">
        <v>10000000</v>
      </c>
      <c r="O22" s="108"/>
      <c r="P22" s="620"/>
      <c r="Q22" s="621"/>
      <c r="R22" s="94"/>
    </row>
    <row r="23" spans="1:20">
      <c r="A23" s="225"/>
      <c r="B23" s="225" t="s">
        <v>19</v>
      </c>
      <c r="C23" s="604"/>
      <c r="D23" s="619">
        <v>100000</v>
      </c>
      <c r="E23" s="5"/>
      <c r="F23" s="619">
        <f>D23</f>
        <v>100000</v>
      </c>
      <c r="G23" s="5"/>
      <c r="H23" s="619">
        <f>D23</f>
        <v>100000</v>
      </c>
      <c r="I23" s="5"/>
      <c r="J23" s="619">
        <f>D23</f>
        <v>100000</v>
      </c>
      <c r="K23" s="5"/>
      <c r="L23" s="619">
        <f>D23</f>
        <v>100000</v>
      </c>
      <c r="M23" s="619"/>
      <c r="N23" s="619">
        <f>D23</f>
        <v>100000</v>
      </c>
      <c r="O23" s="5"/>
      <c r="Q23" s="622"/>
      <c r="R23" s="94"/>
      <c r="T23" s="619"/>
    </row>
    <row r="24" spans="1:20">
      <c r="A24" s="225"/>
      <c r="B24" s="285" t="s">
        <v>20</v>
      </c>
      <c r="C24" s="623"/>
      <c r="D24" s="624">
        <f>D22/D23</f>
        <v>8425</v>
      </c>
      <c r="E24" s="827"/>
      <c r="F24" s="624">
        <f>F22/F23</f>
        <v>600</v>
      </c>
      <c r="G24" s="624"/>
      <c r="H24" s="624">
        <f>H22/H23</f>
        <v>325</v>
      </c>
      <c r="I24" s="624"/>
      <c r="J24" s="624">
        <f>J22/J23</f>
        <v>275</v>
      </c>
      <c r="K24" s="624"/>
      <c r="L24" s="624">
        <f>L22/L23</f>
        <v>275</v>
      </c>
      <c r="M24" s="624"/>
      <c r="N24" s="624">
        <f>N22/N23</f>
        <v>100</v>
      </c>
      <c r="O24" s="624"/>
      <c r="P24" s="35"/>
      <c r="Q24" s="625"/>
      <c r="R24" s="94"/>
    </row>
    <row r="25" spans="1:20" ht="12.75" customHeight="1">
      <c r="A25" s="225"/>
      <c r="B25" s="222"/>
      <c r="C25" s="223"/>
      <c r="D25" s="824"/>
      <c r="E25" s="223"/>
      <c r="F25" s="626"/>
      <c r="G25" s="223"/>
      <c r="H25" s="223"/>
      <c r="I25" s="223"/>
      <c r="J25" s="223"/>
      <c r="K25" s="223"/>
      <c r="L25" s="626"/>
      <c r="M25" s="626"/>
      <c r="N25" s="626"/>
      <c r="O25" s="223"/>
      <c r="P25" s="223"/>
      <c r="Q25" s="627"/>
      <c r="R25" s="94"/>
    </row>
    <row r="26" spans="1:20" ht="13">
      <c r="A26" s="225"/>
      <c r="B26" s="628" t="s">
        <v>21</v>
      </c>
      <c r="Q26" s="94"/>
      <c r="R26" s="94"/>
    </row>
    <row r="27" spans="1:20">
      <c r="A27" s="225"/>
      <c r="B27" s="225" t="s">
        <v>46</v>
      </c>
      <c r="C27" s="629">
        <f>SUM(D27,F27,H27,J27,L27,N27)</f>
        <v>968607591.58329999</v>
      </c>
      <c r="D27" s="775">
        <f>VLOOKUP("A_Notes_bop",calcdata,2,0)</f>
        <v>814024258.25</v>
      </c>
      <c r="E27" s="776"/>
      <c r="F27" s="775">
        <f>VLOOKUP("B_Notes_bop",calcdata,2,0)</f>
        <v>60000000</v>
      </c>
      <c r="G27" s="776"/>
      <c r="H27" s="775">
        <f>VLOOKUP("C_Notes_bop",calcdata,2,0)</f>
        <v>32500000</v>
      </c>
      <c r="I27" s="776"/>
      <c r="J27" s="775">
        <f>VLOOKUP("D_Notes_bop",calcdata,2,0)</f>
        <v>27500000</v>
      </c>
      <c r="K27" s="776"/>
      <c r="L27" s="775">
        <f>VLOOKUP("E_Notes_bop",calcdata,2,0)</f>
        <v>27500000</v>
      </c>
      <c r="M27" s="776"/>
      <c r="N27" s="775">
        <f>VLOOKUP("F_Notes_bop",calcdata,2,0)</f>
        <v>7083333.3333000001</v>
      </c>
      <c r="O27" s="108"/>
      <c r="P27" s="604"/>
      <c r="Q27" s="622"/>
      <c r="R27" s="94"/>
    </row>
    <row r="28" spans="1:20">
      <c r="A28" s="225"/>
      <c r="B28" s="225"/>
      <c r="C28" s="629"/>
      <c r="D28" s="629"/>
      <c r="E28" s="629"/>
      <c r="F28" s="629"/>
      <c r="G28" s="629"/>
      <c r="H28" s="629"/>
      <c r="I28" s="629"/>
      <c r="J28" s="629"/>
      <c r="K28" s="629"/>
      <c r="L28" s="629"/>
      <c r="M28" s="629"/>
      <c r="N28" s="629"/>
      <c r="O28" s="604"/>
      <c r="P28" s="604"/>
      <c r="Q28" s="622"/>
      <c r="R28" s="94"/>
    </row>
    <row r="29" spans="1:20">
      <c r="A29" s="225"/>
      <c r="B29" s="225" t="s">
        <v>141</v>
      </c>
      <c r="C29" s="629">
        <f>VLOOKUP("Replenishment",calcdata,2,0)</f>
        <v>0</v>
      </c>
      <c r="D29" s="629"/>
      <c r="E29" s="629"/>
      <c r="F29" s="629"/>
      <c r="G29" s="629"/>
      <c r="H29" s="629"/>
      <c r="I29" s="629"/>
      <c r="J29" s="629"/>
      <c r="K29" s="629"/>
      <c r="L29" s="629"/>
      <c r="M29" s="629"/>
      <c r="N29" s="629"/>
      <c r="Q29" s="94"/>
      <c r="R29" s="94"/>
    </row>
    <row r="30" spans="1:20">
      <c r="A30" s="225"/>
      <c r="B30" s="225" t="s">
        <v>96</v>
      </c>
      <c r="C30" s="629">
        <f>VLOOKUP("Amortisation",calcdata,2,0)</f>
        <v>27834649.666700002</v>
      </c>
      <c r="D30" s="629"/>
      <c r="E30" s="629"/>
      <c r="F30" s="629"/>
      <c r="G30" s="629"/>
      <c r="H30" s="629"/>
      <c r="I30" s="629"/>
      <c r="J30" s="629"/>
      <c r="K30" s="629"/>
      <c r="L30" s="629"/>
      <c r="M30" s="629"/>
      <c r="N30" s="629"/>
      <c r="Q30" s="94"/>
      <c r="R30" s="94"/>
    </row>
    <row r="31" spans="1:20">
      <c r="A31" s="225"/>
      <c r="B31" s="225" t="s">
        <v>23</v>
      </c>
      <c r="C31" s="629"/>
      <c r="D31" s="711">
        <f>VLOOKUP("A_Redemption",calcdata,2,0)</f>
        <v>27417983</v>
      </c>
      <c r="E31" s="711"/>
      <c r="F31" s="711">
        <f>VLOOKUP("B_Redemption",calcdata,2,0)</f>
        <v>0</v>
      </c>
      <c r="G31" s="711"/>
      <c r="H31" s="711">
        <f>VLOOKUP("C_Redemption",calcdata,2,0)</f>
        <v>0</v>
      </c>
      <c r="I31" s="711"/>
      <c r="J31" s="711">
        <f>VLOOKUP("D_Redemption",calcdata,2,0)</f>
        <v>0</v>
      </c>
      <c r="K31" s="711"/>
      <c r="L31" s="711">
        <f>VLOOKUP("E_Redemption",calcdata,2,0)</f>
        <v>0</v>
      </c>
      <c r="M31" s="711"/>
      <c r="N31" s="711">
        <f>VLOOKUP("F_Redemption",calcdata,2,0)</f>
        <v>416666.6667</v>
      </c>
      <c r="O31" s="604"/>
      <c r="P31" s="604"/>
      <c r="Q31" s="622"/>
      <c r="R31" s="94"/>
    </row>
    <row r="32" spans="1:20">
      <c r="A32" s="225"/>
      <c r="B32" s="225" t="s">
        <v>22</v>
      </c>
      <c r="C32" s="629"/>
      <c r="D32" s="629">
        <f>IF(ISNUMBER(D31),D31/D24,"")</f>
        <v>3254.36</v>
      </c>
      <c r="E32" s="629"/>
      <c r="F32" s="629">
        <f>IF(ISNUMBER(F31),F31/F24,"")</f>
        <v>0</v>
      </c>
      <c r="G32" s="629"/>
      <c r="H32" s="629">
        <f>IF(ISNUMBER(H31),H31/H24,"")</f>
        <v>0</v>
      </c>
      <c r="I32" s="629"/>
      <c r="J32" s="629">
        <f>IF(ISNUMBER(J31),J31/J24,"")</f>
        <v>0</v>
      </c>
      <c r="K32" s="629"/>
      <c r="L32" s="629">
        <f>IF(ISNUMBER(L31),L31/L24,"")</f>
        <v>0</v>
      </c>
      <c r="M32" s="629"/>
      <c r="N32" s="629">
        <f>IF(ISNUMBER(N31),N31/N24,"")</f>
        <v>4166.6666670000004</v>
      </c>
      <c r="O32" s="604"/>
      <c r="P32" s="604"/>
      <c r="Q32" s="622"/>
      <c r="R32" s="94"/>
    </row>
    <row r="33" spans="1:18">
      <c r="A33" s="225"/>
      <c r="B33" s="225" t="s">
        <v>47</v>
      </c>
      <c r="C33" s="629">
        <f>SUM(D33,F33,H33,J33,L33,N33)</f>
        <v>940772941.91659999</v>
      </c>
      <c r="D33" s="629">
        <f>D27-D31</f>
        <v>786606275.25</v>
      </c>
      <c r="E33" s="629"/>
      <c r="F33" s="629">
        <f>F27-F31</f>
        <v>60000000</v>
      </c>
      <c r="G33" s="629"/>
      <c r="H33" s="629">
        <f>H27-H31</f>
        <v>32500000</v>
      </c>
      <c r="I33" s="629"/>
      <c r="J33" s="629">
        <f>J27-J31</f>
        <v>27500000</v>
      </c>
      <c r="K33" s="629"/>
      <c r="L33" s="629">
        <f>L27-L31</f>
        <v>27500000</v>
      </c>
      <c r="M33" s="629"/>
      <c r="N33" s="629">
        <f>N27-N31</f>
        <v>6666666.6666000001</v>
      </c>
      <c r="Q33" s="622"/>
      <c r="R33" s="94"/>
    </row>
    <row r="34" spans="1:18">
      <c r="A34" s="225"/>
      <c r="B34" s="225" t="s">
        <v>24</v>
      </c>
      <c r="D34" s="211">
        <f>+D33/$C$33</f>
        <v>0.8361276565283412</v>
      </c>
      <c r="E34" s="639"/>
      <c r="F34" s="211">
        <f>+F33/$C$33</f>
        <v>6.3777344486294796E-2</v>
      </c>
      <c r="G34" s="639"/>
      <c r="H34" s="211">
        <f>+H33/$C$33</f>
        <v>3.4546061596743012E-2</v>
      </c>
      <c r="I34" s="639"/>
      <c r="J34" s="211">
        <f>+J33/$C$33</f>
        <v>2.923128288955178E-2</v>
      </c>
      <c r="K34" s="639"/>
      <c r="L34" s="211">
        <f>+L33/$C$33</f>
        <v>2.923128288955178E-2</v>
      </c>
      <c r="M34" s="211"/>
      <c r="N34" s="211">
        <f>+N33/$C$33</f>
        <v>7.0863716095174471E-3</v>
      </c>
      <c r="Q34" s="630"/>
      <c r="R34" s="94"/>
    </row>
    <row r="35" spans="1:18">
      <c r="A35" s="225"/>
      <c r="B35" s="285" t="s">
        <v>27</v>
      </c>
      <c r="C35" s="631">
        <f>C33/C22</f>
        <v>0.94077294191659999</v>
      </c>
      <c r="D35" s="631">
        <f>D33/D22</f>
        <v>0.93365730000000002</v>
      </c>
      <c r="E35" s="35"/>
      <c r="F35" s="631">
        <f>F33/F22</f>
        <v>1</v>
      </c>
      <c r="G35" s="35"/>
      <c r="H35" s="631">
        <f>H33/H22</f>
        <v>1</v>
      </c>
      <c r="I35" s="35"/>
      <c r="J35" s="631">
        <f>J33/J22</f>
        <v>1</v>
      </c>
      <c r="K35" s="35"/>
      <c r="L35" s="631">
        <f>L33/L22</f>
        <v>1</v>
      </c>
      <c r="M35" s="631"/>
      <c r="N35" s="631">
        <f>N33/N22</f>
        <v>0.66666666665999996</v>
      </c>
      <c r="O35" s="35"/>
      <c r="P35" s="35"/>
      <c r="Q35" s="632"/>
      <c r="R35" s="94"/>
    </row>
    <row r="36" spans="1:18">
      <c r="A36" s="225"/>
      <c r="R36" s="94"/>
    </row>
    <row r="37" spans="1:18" ht="18">
      <c r="A37" s="225"/>
      <c r="B37" s="226" t="s">
        <v>26</v>
      </c>
      <c r="C37" s="605" t="s">
        <v>7</v>
      </c>
      <c r="D37" s="605" t="s">
        <v>5</v>
      </c>
      <c r="E37" s="605"/>
      <c r="F37" s="605" t="s">
        <v>6</v>
      </c>
      <c r="G37" s="605"/>
      <c r="H37" s="605" t="s">
        <v>181</v>
      </c>
      <c r="I37" s="605"/>
      <c r="J37" s="605" t="s">
        <v>182</v>
      </c>
      <c r="K37" s="605"/>
      <c r="L37" s="605" t="s">
        <v>183</v>
      </c>
      <c r="M37" s="605"/>
      <c r="N37" s="605" t="s">
        <v>226</v>
      </c>
      <c r="O37" s="605"/>
      <c r="P37" s="605"/>
      <c r="Q37" s="605"/>
      <c r="R37" s="94"/>
    </row>
    <row r="38" spans="1:18">
      <c r="A38" s="225"/>
      <c r="B38" s="222" t="s">
        <v>184</v>
      </c>
      <c r="C38" s="871">
        <f>VLOOKUP("1M_euribor",calcdata,2,0)</f>
        <v>1.8919999999999999E-2</v>
      </c>
      <c r="D38" s="828" t="s">
        <v>797</v>
      </c>
      <c r="E38" s="829"/>
      <c r="F38" s="830" t="s">
        <v>798</v>
      </c>
      <c r="G38" s="830"/>
      <c r="H38" s="830" t="s">
        <v>799</v>
      </c>
      <c r="I38" s="830"/>
      <c r="J38" s="830" t="s">
        <v>800</v>
      </c>
      <c r="K38" s="830"/>
      <c r="L38" s="830" t="s">
        <v>801</v>
      </c>
      <c r="M38" s="830"/>
      <c r="N38" s="830" t="s">
        <v>802</v>
      </c>
      <c r="O38" s="633"/>
      <c r="P38" s="223"/>
      <c r="Q38" s="634"/>
      <c r="R38" s="94"/>
    </row>
    <row r="39" spans="1:18">
      <c r="A39" s="225"/>
      <c r="B39" s="225" t="s">
        <v>58</v>
      </c>
      <c r="C39" s="635"/>
      <c r="D39" s="637" t="s">
        <v>56</v>
      </c>
      <c r="E39" s="109"/>
      <c r="F39" s="637" t="s">
        <v>56</v>
      </c>
      <c r="G39" s="109"/>
      <c r="H39" s="637" t="s">
        <v>56</v>
      </c>
      <c r="I39" s="109"/>
      <c r="J39" s="637" t="s">
        <v>56</v>
      </c>
      <c r="K39" s="109"/>
      <c r="L39" s="637" t="s">
        <v>56</v>
      </c>
      <c r="M39" s="637"/>
      <c r="N39" s="637" t="s">
        <v>56</v>
      </c>
      <c r="O39" s="5"/>
      <c r="Q39" s="636"/>
      <c r="R39" s="94"/>
    </row>
    <row r="40" spans="1:18">
      <c r="A40" s="225"/>
      <c r="B40" s="225" t="s">
        <v>94</v>
      </c>
      <c r="C40" s="635">
        <f>VLOOKUP("Interest_days",calcdata,2,0)</f>
        <v>28</v>
      </c>
      <c r="D40" s="637"/>
      <c r="F40" s="637"/>
      <c r="L40" s="638"/>
      <c r="M40" s="638"/>
      <c r="N40" s="638"/>
      <c r="Q40" s="636"/>
      <c r="R40" s="94"/>
    </row>
    <row r="41" spans="1:18">
      <c r="A41" s="225"/>
      <c r="B41" s="225" t="s">
        <v>28</v>
      </c>
      <c r="C41" s="604"/>
      <c r="D41" s="629">
        <f>D27/D24</f>
        <v>96620.09</v>
      </c>
      <c r="E41" s="629"/>
      <c r="F41" s="629">
        <f>F27/F24</f>
        <v>100000</v>
      </c>
      <c r="G41" s="629"/>
      <c r="H41" s="629">
        <f>H27/H24</f>
        <v>100000</v>
      </c>
      <c r="I41" s="629"/>
      <c r="J41" s="629">
        <f>J27/J24</f>
        <v>100000</v>
      </c>
      <c r="K41" s="629"/>
      <c r="L41" s="629">
        <f>L27/L24</f>
        <v>100000</v>
      </c>
      <c r="M41" s="629"/>
      <c r="N41" s="629">
        <f>N27/N24</f>
        <v>70833.333333000002</v>
      </c>
      <c r="Q41" s="622"/>
      <c r="R41" s="94"/>
    </row>
    <row r="42" spans="1:18">
      <c r="A42" s="225"/>
      <c r="B42" s="225" t="s">
        <v>692</v>
      </c>
      <c r="C42" s="604"/>
      <c r="D42" s="629"/>
      <c r="E42" s="629"/>
      <c r="F42" s="629"/>
      <c r="G42" s="629"/>
      <c r="H42" s="629"/>
      <c r="I42" s="629"/>
      <c r="J42" s="629"/>
      <c r="K42" s="629"/>
      <c r="L42" s="629"/>
      <c r="M42" s="629"/>
      <c r="N42" s="629">
        <f>VLOOKUP("F_accrued_Target_Amortisation",calcdata,2,0)/N24</f>
        <v>4166.6666670000004</v>
      </c>
      <c r="Q42" s="622"/>
      <c r="R42" s="94"/>
    </row>
    <row r="43" spans="1:18" ht="13">
      <c r="A43" s="225"/>
      <c r="B43" s="225" t="s">
        <v>30</v>
      </c>
      <c r="C43" s="639"/>
      <c r="D43" s="640">
        <f>+D32</f>
        <v>3254.36</v>
      </c>
      <c r="E43" s="640"/>
      <c r="F43" s="640">
        <f>+F32</f>
        <v>0</v>
      </c>
      <c r="G43" s="640"/>
      <c r="H43" s="640">
        <f>+H32</f>
        <v>0</v>
      </c>
      <c r="I43" s="640"/>
      <c r="J43" s="640">
        <f>+J32</f>
        <v>0</v>
      </c>
      <c r="K43" s="640"/>
      <c r="L43" s="640">
        <f>+L32</f>
        <v>0</v>
      </c>
      <c r="M43" s="640"/>
      <c r="N43" s="640">
        <f>+N32</f>
        <v>4166.6666670000004</v>
      </c>
      <c r="O43" s="21"/>
      <c r="P43" s="21"/>
      <c r="Q43" s="641"/>
      <c r="R43" s="94"/>
    </row>
    <row r="44" spans="1:18">
      <c r="A44" s="225"/>
      <c r="B44" s="225" t="s">
        <v>29</v>
      </c>
      <c r="C44" s="639"/>
      <c r="D44" s="629">
        <f>D41-D43</f>
        <v>93365.73</v>
      </c>
      <c r="E44" s="629"/>
      <c r="F44" s="629">
        <f>F41-F43</f>
        <v>100000</v>
      </c>
      <c r="G44" s="629"/>
      <c r="H44" s="629">
        <f>H41-H43</f>
        <v>100000</v>
      </c>
      <c r="I44" s="629"/>
      <c r="J44" s="629">
        <f>J41-J43</f>
        <v>100000</v>
      </c>
      <c r="K44" s="629"/>
      <c r="L44" s="629">
        <f>L41-L43</f>
        <v>100000</v>
      </c>
      <c r="M44" s="629"/>
      <c r="N44" s="629">
        <f>N41-N43</f>
        <v>66666.666666000005</v>
      </c>
      <c r="Q44" s="622"/>
      <c r="R44" s="94"/>
    </row>
    <row r="45" spans="1:18" ht="13">
      <c r="A45" s="225"/>
      <c r="B45" s="225" t="s">
        <v>84</v>
      </c>
      <c r="C45" s="642"/>
      <c r="D45" s="640">
        <f>-'19. PoP + Transaction Costs'!E62</f>
        <v>-1641105.75</v>
      </c>
      <c r="E45" s="640"/>
      <c r="F45" s="640">
        <f>-'19. PoP + Transaction Costs'!G62</f>
        <v>-139626</v>
      </c>
      <c r="G45" s="629"/>
      <c r="H45" s="640">
        <f>-'19. PoP + Transaction Costs'!I62</f>
        <v>-83213</v>
      </c>
      <c r="I45" s="629"/>
      <c r="J45" s="640">
        <f>-'19. PoP + Transaction Costs'!K62</f>
        <v>-76829.5</v>
      </c>
      <c r="K45" s="629"/>
      <c r="L45" s="640">
        <f>-'19. PoP + Transaction Costs'!M62</f>
        <v>-109980.75</v>
      </c>
      <c r="M45" s="640"/>
      <c r="N45" s="640">
        <f>-'19. PoP + Transaction Costs'!O62</f>
        <v>-21277</v>
      </c>
      <c r="Q45" s="622"/>
      <c r="R45" s="94"/>
    </row>
    <row r="46" spans="1:18" ht="13">
      <c r="A46" s="225"/>
      <c r="B46" s="225" t="s">
        <v>93</v>
      </c>
      <c r="C46" s="642"/>
      <c r="D46" s="711">
        <f>VLOOKUP("A_Interests",calcdata,2,0)</f>
        <v>1641105.75</v>
      </c>
      <c r="E46" s="640"/>
      <c r="F46" s="711">
        <f>VLOOKUP("B_Interests",calcdata,2,0)</f>
        <v>139626</v>
      </c>
      <c r="G46" s="629"/>
      <c r="H46" s="711">
        <f>VLOOKUP("C_Interests",calcdata,2,0)</f>
        <v>83213</v>
      </c>
      <c r="I46" s="711"/>
      <c r="J46" s="711">
        <f>VLOOKUP("D_Interests",calcdata,2,0)</f>
        <v>76829.5</v>
      </c>
      <c r="K46" s="629"/>
      <c r="L46" s="711">
        <f>VLOOKUP("E_Interests",calcdata,2,0)</f>
        <v>109980.75</v>
      </c>
      <c r="M46" s="711"/>
      <c r="N46" s="711">
        <f>VLOOKUP("F_Interests",calcdata,2,0)</f>
        <v>21277</v>
      </c>
      <c r="Q46" s="622"/>
      <c r="R46" s="94"/>
    </row>
    <row r="47" spans="1:18" ht="13">
      <c r="A47" s="225"/>
      <c r="B47" s="285" t="s">
        <v>85</v>
      </c>
      <c r="C47" s="35"/>
      <c r="D47" s="770">
        <f>D46/D24</f>
        <v>194.79</v>
      </c>
      <c r="E47" s="643"/>
      <c r="F47" s="770">
        <f>F46/F24</f>
        <v>232.71</v>
      </c>
      <c r="G47" s="644"/>
      <c r="H47" s="770">
        <f>H46/H24</f>
        <v>256.04000000000002</v>
      </c>
      <c r="I47" s="644"/>
      <c r="J47" s="770">
        <f>J46/J24</f>
        <v>279.38</v>
      </c>
      <c r="K47" s="644"/>
      <c r="L47" s="770">
        <f>L46/L24</f>
        <v>399.93</v>
      </c>
      <c r="M47" s="643"/>
      <c r="N47" s="770">
        <f>N46/N24</f>
        <v>212.77</v>
      </c>
      <c r="O47" s="35"/>
      <c r="P47" s="35"/>
      <c r="Q47" s="645"/>
      <c r="R47" s="94"/>
    </row>
    <row r="48" spans="1:18" ht="13">
      <c r="A48" s="225"/>
      <c r="G48" s="646"/>
      <c r="H48" s="646"/>
      <c r="I48" s="646"/>
      <c r="J48" s="646"/>
      <c r="K48" s="646"/>
      <c r="L48" s="646"/>
      <c r="M48" s="646"/>
      <c r="N48" s="646"/>
      <c r="O48" s="646"/>
      <c r="P48" s="646"/>
      <c r="Q48" s="646"/>
      <c r="R48" s="94"/>
    </row>
    <row r="49" spans="1:18">
      <c r="A49" s="225"/>
      <c r="C49" s="604"/>
      <c r="D49" s="604"/>
      <c r="F49" s="604"/>
      <c r="L49" s="604"/>
      <c r="M49" s="604"/>
      <c r="N49" s="604"/>
      <c r="Q49" s="604"/>
      <c r="R49" s="94"/>
    </row>
    <row r="50" spans="1:18" ht="18">
      <c r="A50" s="225"/>
      <c r="B50" s="226" t="s">
        <v>31</v>
      </c>
      <c r="D50" s="605" t="s">
        <v>5</v>
      </c>
      <c r="E50" s="605"/>
      <c r="F50" s="605" t="s">
        <v>6</v>
      </c>
      <c r="H50" s="605" t="s">
        <v>181</v>
      </c>
      <c r="I50" s="605"/>
      <c r="J50" s="605" t="s">
        <v>182</v>
      </c>
      <c r="K50" s="605"/>
      <c r="L50" s="605" t="s">
        <v>183</v>
      </c>
      <c r="M50" s="605"/>
      <c r="N50" s="605" t="s">
        <v>226</v>
      </c>
      <c r="R50" s="94"/>
    </row>
    <row r="51" spans="1:18">
      <c r="A51" s="225"/>
      <c r="B51" s="222" t="s">
        <v>54</v>
      </c>
      <c r="C51" s="223"/>
      <c r="D51" s="648">
        <v>0.1724999911623</v>
      </c>
      <c r="E51" s="647"/>
      <c r="F51" s="648">
        <v>0.11249999052149998</v>
      </c>
      <c r="G51" s="648"/>
      <c r="H51" s="648">
        <v>7.9999990174399987E-2</v>
      </c>
      <c r="I51" s="648"/>
      <c r="J51" s="648">
        <v>5.2499989880699947E-2</v>
      </c>
      <c r="K51" s="648"/>
      <c r="L51" s="648">
        <v>2.4999989586999914E-2</v>
      </c>
      <c r="M51" s="648"/>
      <c r="N51" s="648">
        <v>1.4999989480200005E-2</v>
      </c>
      <c r="O51" s="647"/>
      <c r="P51" s="648"/>
      <c r="Q51" s="649"/>
      <c r="R51" s="94"/>
    </row>
    <row r="52" spans="1:18">
      <c r="A52" s="225"/>
      <c r="B52" s="285" t="s">
        <v>227</v>
      </c>
      <c r="C52" s="35"/>
      <c r="D52" s="651">
        <f>1-'5. Outstanding Notes'!D33/'1. Portfolio Information'!$F$32+'2. Reserve Accounts'!$D$24/'1. Portfolio Information'!$F$32</f>
        <v>0.18221371723024149</v>
      </c>
      <c r="E52" s="651"/>
      <c r="F52" s="651">
        <f>1-SUM('5. Outstanding Notes'!F33,D33)/'1. Portfolio Information'!$F$32+'2. Reserve Accounts'!$D$24/'1. Portfolio Information'!$F$32</f>
        <v>0.11866154988116628</v>
      </c>
      <c r="G52" s="651"/>
      <c r="H52" s="651">
        <f>1-SUM('5. Outstanding Notes'!H33,F33,D33)/'1. Portfolio Information'!$F$32+'2. Reserve Accounts'!$D$24/'1. Portfolio Information'!$F$32</f>
        <v>8.4237459233750589E-2</v>
      </c>
      <c r="I52" s="651"/>
      <c r="J52" s="651">
        <f>1-SUM('5. Outstanding Notes'!J33,H33,F33,D33)/'1. Portfolio Information'!$F$32+'2. Reserve Accounts'!$D$24/'1. Portfolio Information'!$F$32</f>
        <v>5.5109382532091189E-2</v>
      </c>
      <c r="K52" s="651"/>
      <c r="L52" s="651">
        <f>1-SUM('5. Outstanding Notes'!L33,J33,H33,F33,D33)/'1. Portfolio Information'!$F$32+'2. Reserve Accounts'!$D$24/'1. Portfolio Information'!$F$32</f>
        <v>2.5981305830431678E-2</v>
      </c>
      <c r="M52" s="651"/>
      <c r="N52" s="651">
        <f>1-SUM(L33,J33,H33,F33,D33,'5. Outstanding Notes'!N33)/'1. Portfolio Information'!$F$32+'2. Reserve Accounts'!$D$24/'1. Portfolio Information'!$F$32</f>
        <v>1.8919953902827302E-2</v>
      </c>
      <c r="O52" s="650"/>
      <c r="P52" s="651"/>
      <c r="Q52" s="652"/>
      <c r="R52" s="94"/>
    </row>
    <row r="53" spans="1:18">
      <c r="A53" s="225"/>
      <c r="D53" s="639"/>
      <c r="E53" s="639"/>
      <c r="F53" s="639"/>
      <c r="G53" s="639"/>
      <c r="H53" s="639"/>
      <c r="I53" s="639"/>
      <c r="J53" s="639"/>
      <c r="K53" s="639"/>
      <c r="L53" s="639"/>
      <c r="M53" s="639"/>
      <c r="N53" s="639"/>
      <c r="O53" s="639"/>
      <c r="P53" s="639"/>
      <c r="Q53" s="639"/>
      <c r="R53" s="94"/>
    </row>
    <row r="54" spans="1:18">
      <c r="A54" s="225"/>
      <c r="B54" s="65"/>
      <c r="D54" s="639"/>
      <c r="E54" s="639"/>
      <c r="F54" s="639"/>
      <c r="G54" s="639"/>
      <c r="H54" s="639"/>
      <c r="I54" s="639"/>
      <c r="J54" s="639"/>
      <c r="K54" s="639"/>
      <c r="L54" s="639"/>
      <c r="M54" s="639"/>
      <c r="N54" s="639"/>
      <c r="O54" s="639"/>
      <c r="P54" s="639"/>
      <c r="Q54" s="639"/>
      <c r="R54" s="94"/>
    </row>
    <row r="55" spans="1:18" ht="13.5" customHeight="1">
      <c r="A55" s="285"/>
      <c r="B55" s="35" t="s">
        <v>803</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164</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5" customHeight="1" thickBot="1">
      <c r="A13" s="114"/>
      <c r="B13" s="433"/>
      <c r="D13" s="590" t="s">
        <v>68</v>
      </c>
      <c r="E13" s="584" t="s">
        <v>69</v>
      </c>
      <c r="F13" s="421" t="s">
        <v>114</v>
      </c>
      <c r="G13" s="584" t="s">
        <v>62</v>
      </c>
      <c r="H13" s="568" t="s">
        <v>115</v>
      </c>
      <c r="I13" s="111"/>
      <c r="K13" s="119"/>
      <c r="M13" s="203"/>
      <c r="N13" s="434"/>
      <c r="O13" s="202"/>
      <c r="P13" s="434"/>
      <c r="Q13" s="434"/>
    </row>
    <row r="14" spans="1:17">
      <c r="A14" s="114"/>
      <c r="B14" s="168"/>
      <c r="C14" s="168"/>
      <c r="D14" s="585" t="s">
        <v>576</v>
      </c>
      <c r="E14" s="586">
        <f t="shared" ref="E14:E45" si="0">VLOOKUP(CONCATENATE("OPB_",D14),Assets_Daten,3,0)</f>
        <v>1844936.7499999981</v>
      </c>
      <c r="F14" s="587">
        <f>E14/$E$65</f>
        <v>1.7219501900540817E-3</v>
      </c>
      <c r="G14" s="588">
        <f t="shared" ref="G14:G45" si="1">VLOOKUP(CONCATENATE("OPB_",D14),Assets_Daten,2,0)</f>
        <v>1440</v>
      </c>
      <c r="H14" s="589">
        <f>G14/$G$65</f>
        <v>2.8260784236762568E-2</v>
      </c>
      <c r="I14" s="111"/>
      <c r="K14" s="119"/>
      <c r="M14" s="184"/>
      <c r="N14" s="12"/>
      <c r="O14" s="185"/>
      <c r="P14" s="186"/>
      <c r="Q14" s="185"/>
    </row>
    <row r="15" spans="1:17">
      <c r="A15" s="114"/>
      <c r="B15" s="13"/>
      <c r="C15" s="12"/>
      <c r="D15" s="585" t="s">
        <v>577</v>
      </c>
      <c r="E15" s="586">
        <f t="shared" si="0"/>
        <v>11016413.860000081</v>
      </c>
      <c r="F15" s="587">
        <f t="shared" ref="F15:F64" si="2">E15/$E$65</f>
        <v>1.0282041343662096E-2</v>
      </c>
      <c r="G15" s="588">
        <f t="shared" si="1"/>
        <v>3855</v>
      </c>
      <c r="H15" s="589">
        <f t="shared" ref="H15:H64" si="3">G15/$G$65</f>
        <v>7.565647446716646E-2</v>
      </c>
      <c r="I15" s="111"/>
      <c r="K15" s="119"/>
      <c r="M15" s="184"/>
      <c r="N15" s="12"/>
      <c r="O15" s="185"/>
      <c r="P15" s="186"/>
      <c r="Q15" s="185"/>
    </row>
    <row r="16" spans="1:17">
      <c r="A16" s="114"/>
      <c r="B16" s="13"/>
      <c r="C16" s="12"/>
      <c r="D16" s="585" t="s">
        <v>578</v>
      </c>
      <c r="E16" s="586">
        <f t="shared" si="0"/>
        <v>22888157.049999863</v>
      </c>
      <c r="F16" s="587">
        <f t="shared" si="2"/>
        <v>2.1362394338036238E-2</v>
      </c>
      <c r="G16" s="588">
        <f t="shared" si="1"/>
        <v>4652</v>
      </c>
      <c r="H16" s="589">
        <f t="shared" si="3"/>
        <v>9.1298033520430186E-2</v>
      </c>
      <c r="I16" s="111"/>
      <c r="K16" s="119"/>
      <c r="M16" s="184"/>
      <c r="N16" s="12"/>
      <c r="O16" s="185"/>
      <c r="P16" s="186"/>
      <c r="Q16" s="185"/>
    </row>
    <row r="17" spans="1:17">
      <c r="A17" s="114"/>
      <c r="B17" s="13"/>
      <c r="C17" s="12"/>
      <c r="D17" s="585" t="s">
        <v>579</v>
      </c>
      <c r="E17" s="586">
        <f t="shared" si="0"/>
        <v>30378489.959999721</v>
      </c>
      <c r="F17" s="587">
        <f t="shared" si="2"/>
        <v>2.8353409167104285E-2</v>
      </c>
      <c r="G17" s="588">
        <f t="shared" si="1"/>
        <v>4379</v>
      </c>
      <c r="H17" s="589">
        <f t="shared" si="3"/>
        <v>8.5940259842210626E-2</v>
      </c>
      <c r="I17" s="111"/>
      <c r="K17" s="119"/>
      <c r="M17" s="184"/>
      <c r="N17" s="12"/>
      <c r="O17" s="185"/>
      <c r="P17" s="186"/>
      <c r="Q17" s="185"/>
    </row>
    <row r="18" spans="1:17">
      <c r="A18" s="114"/>
      <c r="B18" s="13"/>
      <c r="C18" s="12"/>
      <c r="D18" s="585" t="s">
        <v>580</v>
      </c>
      <c r="E18" s="586">
        <f t="shared" si="0"/>
        <v>27969515.819999848</v>
      </c>
      <c r="F18" s="587">
        <f t="shared" si="2"/>
        <v>2.6105021259926354E-2</v>
      </c>
      <c r="G18" s="588">
        <f t="shared" si="1"/>
        <v>3156</v>
      </c>
      <c r="H18" s="589">
        <f t="shared" si="3"/>
        <v>6.1938218785571299E-2</v>
      </c>
      <c r="I18" s="111"/>
      <c r="K18" s="119"/>
      <c r="M18" s="184"/>
      <c r="N18" s="12"/>
      <c r="O18" s="185"/>
      <c r="P18" s="186"/>
      <c r="Q18" s="185"/>
    </row>
    <row r="19" spans="1:17">
      <c r="A19" s="114"/>
      <c r="B19" s="13"/>
      <c r="C19" s="12"/>
      <c r="D19" s="585" t="s">
        <v>581</v>
      </c>
      <c r="E19" s="586">
        <f t="shared" si="0"/>
        <v>42372202.739999697</v>
      </c>
      <c r="F19" s="587">
        <f t="shared" si="2"/>
        <v>3.9547601055240855E-2</v>
      </c>
      <c r="G19" s="588">
        <f t="shared" si="1"/>
        <v>3987</v>
      </c>
      <c r="H19" s="589">
        <f t="shared" si="3"/>
        <v>7.8247046355536365E-2</v>
      </c>
      <c r="I19" s="111"/>
      <c r="K19" s="119"/>
      <c r="M19" s="184"/>
      <c r="N19" s="12"/>
      <c r="O19" s="185"/>
      <c r="P19" s="186"/>
      <c r="Q19" s="185"/>
    </row>
    <row r="20" spans="1:17">
      <c r="A20" s="114"/>
      <c r="B20" s="13"/>
      <c r="C20" s="12"/>
      <c r="D20" s="585" t="s">
        <v>582</v>
      </c>
      <c r="E20" s="586">
        <f t="shared" si="0"/>
        <v>32480969.649999995</v>
      </c>
      <c r="F20" s="587">
        <f t="shared" si="2"/>
        <v>3.031573405535903E-2</v>
      </c>
      <c r="G20" s="588">
        <f t="shared" si="1"/>
        <v>2530</v>
      </c>
      <c r="H20" s="589">
        <f t="shared" si="3"/>
        <v>4.9652627860423126E-2</v>
      </c>
      <c r="I20" s="111"/>
      <c r="K20" s="119"/>
      <c r="M20" s="184"/>
      <c r="N20" s="12"/>
      <c r="O20" s="185"/>
      <c r="P20" s="186"/>
      <c r="Q20" s="185"/>
    </row>
    <row r="21" spans="1:17">
      <c r="A21" s="114"/>
      <c r="B21" s="13"/>
      <c r="C21" s="12"/>
      <c r="D21" s="107" t="s">
        <v>583</v>
      </c>
      <c r="E21" s="586">
        <f t="shared" si="0"/>
        <v>40024239.219999686</v>
      </c>
      <c r="F21" s="587">
        <f t="shared" si="2"/>
        <v>3.7356156698406362E-2</v>
      </c>
      <c r="G21" s="588">
        <f t="shared" si="1"/>
        <v>2656</v>
      </c>
      <c r="H21" s="589">
        <f t="shared" si="3"/>
        <v>5.2125446481139849E-2</v>
      </c>
      <c r="I21" s="111"/>
      <c r="K21" s="119"/>
      <c r="M21" s="184"/>
      <c r="N21" s="12"/>
      <c r="O21" s="185"/>
      <c r="P21" s="186"/>
      <c r="Q21" s="185"/>
    </row>
    <row r="22" spans="1:17">
      <c r="A22" s="114"/>
      <c r="B22" s="13"/>
      <c r="C22" s="12"/>
      <c r="D22" s="585" t="s">
        <v>584</v>
      </c>
      <c r="E22" s="586">
        <f t="shared" si="0"/>
        <v>30804326.699999984</v>
      </c>
      <c r="F22" s="587">
        <f t="shared" si="2"/>
        <v>2.875085891998902E-2</v>
      </c>
      <c r="G22" s="588">
        <f t="shared" si="1"/>
        <v>1811</v>
      </c>
      <c r="H22" s="589">
        <f t="shared" si="3"/>
        <v>3.5541861286650704E-2</v>
      </c>
      <c r="I22" s="111"/>
      <c r="K22" s="119"/>
      <c r="M22" s="184"/>
      <c r="N22" s="12"/>
      <c r="O22" s="185"/>
      <c r="P22" s="186"/>
      <c r="Q22" s="185"/>
    </row>
    <row r="23" spans="1:17">
      <c r="A23" s="114"/>
      <c r="B23" s="13"/>
      <c r="C23" s="12"/>
      <c r="D23" s="585" t="s">
        <v>585</v>
      </c>
      <c r="E23" s="586">
        <f t="shared" si="0"/>
        <v>29943505.670000028</v>
      </c>
      <c r="F23" s="587">
        <f t="shared" si="2"/>
        <v>2.7947421655155427E-2</v>
      </c>
      <c r="G23" s="588">
        <f t="shared" si="1"/>
        <v>1582</v>
      </c>
      <c r="H23" s="589">
        <f t="shared" si="3"/>
        <v>3.1047611571221101E-2</v>
      </c>
      <c r="I23" s="111"/>
      <c r="K23" s="119"/>
      <c r="M23" s="184"/>
      <c r="N23" s="12"/>
      <c r="O23" s="185"/>
      <c r="P23" s="186"/>
      <c r="Q23" s="185"/>
    </row>
    <row r="24" spans="1:17">
      <c r="A24" s="114"/>
      <c r="B24" s="13"/>
      <c r="C24" s="12"/>
      <c r="D24" s="585" t="s">
        <v>586</v>
      </c>
      <c r="E24" s="586">
        <f t="shared" si="0"/>
        <v>47761372.140000403</v>
      </c>
      <c r="F24" s="587">
        <f t="shared" si="2"/>
        <v>4.457751943730185E-2</v>
      </c>
      <c r="G24" s="588">
        <f t="shared" si="1"/>
        <v>2307</v>
      </c>
      <c r="H24" s="589">
        <f t="shared" si="3"/>
        <v>4.5276131412646699E-2</v>
      </c>
      <c r="I24" s="111"/>
      <c r="K24" s="119"/>
      <c r="M24" s="184"/>
      <c r="N24" s="12"/>
      <c r="O24" s="185"/>
      <c r="P24" s="186"/>
      <c r="Q24" s="185"/>
    </row>
    <row r="25" spans="1:17">
      <c r="A25" s="114"/>
      <c r="B25" s="13"/>
      <c r="C25" s="12"/>
      <c r="D25" s="585" t="s">
        <v>587</v>
      </c>
      <c r="E25" s="586">
        <f t="shared" si="0"/>
        <v>32830311.17000005</v>
      </c>
      <c r="F25" s="587">
        <f t="shared" si="2"/>
        <v>3.0641787887154551E-2</v>
      </c>
      <c r="G25" s="588">
        <f t="shared" si="1"/>
        <v>1429</v>
      </c>
      <c r="H25" s="589">
        <f t="shared" si="3"/>
        <v>2.8044903246065078E-2</v>
      </c>
      <c r="I25" s="111"/>
      <c r="K25" s="119"/>
      <c r="M25" s="184"/>
      <c r="N25" s="12"/>
      <c r="O25" s="185"/>
      <c r="P25" s="186"/>
      <c r="Q25" s="185"/>
    </row>
    <row r="26" spans="1:17">
      <c r="A26" s="114"/>
      <c r="B26" s="13"/>
      <c r="C26" s="12"/>
      <c r="D26" s="585" t="s">
        <v>588</v>
      </c>
      <c r="E26" s="586">
        <f t="shared" si="0"/>
        <v>41692304.409999996</v>
      </c>
      <c r="F26" s="587">
        <f t="shared" si="2"/>
        <v>3.8913025881560544E-2</v>
      </c>
      <c r="G26" s="588">
        <f t="shared" si="1"/>
        <v>1674</v>
      </c>
      <c r="H26" s="589">
        <f t="shared" si="3"/>
        <v>3.2853161675236491E-2</v>
      </c>
      <c r="I26" s="111"/>
      <c r="K26" s="119"/>
      <c r="M26" s="184"/>
      <c r="N26" s="12"/>
      <c r="O26" s="185"/>
      <c r="P26" s="186"/>
      <c r="Q26" s="185"/>
    </row>
    <row r="27" spans="1:17">
      <c r="A27" s="114"/>
      <c r="B27" s="13"/>
      <c r="C27" s="12"/>
      <c r="D27" s="585" t="s">
        <v>589</v>
      </c>
      <c r="E27" s="586">
        <f t="shared" si="0"/>
        <v>36642251.869999811</v>
      </c>
      <c r="F27" s="587">
        <f t="shared" si="2"/>
        <v>3.4199618264179395E-2</v>
      </c>
      <c r="G27" s="588">
        <f t="shared" si="1"/>
        <v>1364</v>
      </c>
      <c r="H27" s="589">
        <f t="shared" si="3"/>
        <v>2.6769242846488989E-2</v>
      </c>
      <c r="I27" s="111"/>
      <c r="K27" s="119"/>
      <c r="M27" s="184"/>
      <c r="N27" s="12"/>
      <c r="O27" s="185"/>
      <c r="P27" s="186"/>
      <c r="Q27" s="185"/>
    </row>
    <row r="28" spans="1:17">
      <c r="A28" s="114"/>
      <c r="B28" s="13"/>
      <c r="C28" s="12"/>
      <c r="D28" s="585" t="s">
        <v>590</v>
      </c>
      <c r="E28" s="586">
        <f t="shared" si="0"/>
        <v>31870057.990000006</v>
      </c>
      <c r="F28" s="587">
        <f t="shared" si="2"/>
        <v>2.9745546785229993E-2</v>
      </c>
      <c r="G28" s="588">
        <f t="shared" si="1"/>
        <v>1102</v>
      </c>
      <c r="H28" s="589">
        <f t="shared" si="3"/>
        <v>2.1627350158966913E-2</v>
      </c>
      <c r="I28" s="111"/>
      <c r="K28" s="119"/>
      <c r="M28" s="184"/>
      <c r="N28" s="12"/>
      <c r="O28" s="185"/>
      <c r="P28" s="186"/>
      <c r="Q28" s="185"/>
    </row>
    <row r="29" spans="1:17">
      <c r="A29" s="114"/>
      <c r="B29" s="13"/>
      <c r="C29" s="12"/>
      <c r="D29" s="585" t="s">
        <v>591</v>
      </c>
      <c r="E29" s="586">
        <f t="shared" si="0"/>
        <v>47401169.269999787</v>
      </c>
      <c r="F29" s="587">
        <f t="shared" si="2"/>
        <v>4.4241328291206687E-2</v>
      </c>
      <c r="G29" s="588">
        <f t="shared" si="1"/>
        <v>1538</v>
      </c>
      <c r="H29" s="589">
        <f t="shared" si="3"/>
        <v>3.0184087608431134E-2</v>
      </c>
      <c r="I29" s="111"/>
      <c r="K29" s="119"/>
      <c r="M29" s="184"/>
      <c r="N29" s="12"/>
      <c r="O29" s="185"/>
      <c r="P29" s="186"/>
      <c r="Q29" s="185"/>
    </row>
    <row r="30" spans="1:17">
      <c r="A30" s="114"/>
      <c r="B30" s="13"/>
      <c r="C30" s="12"/>
      <c r="D30" s="585" t="s">
        <v>592</v>
      </c>
      <c r="E30" s="586">
        <f t="shared" si="0"/>
        <v>31043734.280000065</v>
      </c>
      <c r="F30" s="587">
        <f t="shared" si="2"/>
        <v>2.8974307191525443E-2</v>
      </c>
      <c r="G30" s="588">
        <f t="shared" si="1"/>
        <v>941</v>
      </c>
      <c r="H30" s="589">
        <f t="shared" si="3"/>
        <v>1.8467637476939986E-2</v>
      </c>
      <c r="I30" s="111"/>
      <c r="J30" s="111"/>
      <c r="K30" s="119"/>
      <c r="M30" s="184"/>
      <c r="N30" s="12"/>
      <c r="O30" s="185"/>
      <c r="P30" s="186"/>
      <c r="Q30" s="185"/>
    </row>
    <row r="31" spans="1:17">
      <c r="A31" s="114"/>
      <c r="B31" s="13"/>
      <c r="C31" s="12"/>
      <c r="D31" s="585" t="s">
        <v>593</v>
      </c>
      <c r="E31" s="586">
        <f t="shared" si="0"/>
        <v>37078745.100000046</v>
      </c>
      <c r="F31" s="587">
        <f t="shared" si="2"/>
        <v>3.4607014127672399E-2</v>
      </c>
      <c r="G31" s="588">
        <f t="shared" si="1"/>
        <v>1060</v>
      </c>
      <c r="H31" s="589">
        <f t="shared" si="3"/>
        <v>2.0803077285394669E-2</v>
      </c>
      <c r="I31" s="111"/>
      <c r="J31" s="111"/>
      <c r="K31" s="119"/>
      <c r="M31" s="184"/>
      <c r="N31" s="12"/>
      <c r="O31" s="185"/>
      <c r="P31" s="186"/>
      <c r="Q31" s="185"/>
    </row>
    <row r="32" spans="1:17">
      <c r="A32" s="114"/>
      <c r="B32" s="13"/>
      <c r="C32" s="12"/>
      <c r="D32" s="585" t="s">
        <v>594</v>
      </c>
      <c r="E32" s="586">
        <f t="shared" si="0"/>
        <v>32554254.250000145</v>
      </c>
      <c r="F32" s="587">
        <f t="shared" si="2"/>
        <v>3.0384133381730679E-2</v>
      </c>
      <c r="G32" s="588">
        <f t="shared" si="1"/>
        <v>882</v>
      </c>
      <c r="H32" s="589">
        <f t="shared" si="3"/>
        <v>1.7309730345017073E-2</v>
      </c>
      <c r="I32" s="111"/>
      <c r="J32" s="111"/>
      <c r="K32" s="119"/>
      <c r="M32" s="184"/>
      <c r="N32" s="12"/>
      <c r="O32" s="185"/>
      <c r="P32" s="186"/>
      <c r="Q32" s="185"/>
    </row>
    <row r="33" spans="1:17">
      <c r="A33" s="114"/>
      <c r="B33" s="13"/>
      <c r="C33" s="12"/>
      <c r="D33" s="585" t="s">
        <v>595</v>
      </c>
      <c r="E33" s="586">
        <f t="shared" si="0"/>
        <v>31364320.559999999</v>
      </c>
      <c r="F33" s="587">
        <f t="shared" si="2"/>
        <v>2.9273522655564856E-2</v>
      </c>
      <c r="G33" s="588">
        <f t="shared" si="1"/>
        <v>805</v>
      </c>
      <c r="H33" s="589">
        <f t="shared" si="3"/>
        <v>1.5798563410134633E-2</v>
      </c>
      <c r="I33" s="111"/>
      <c r="J33" s="111"/>
      <c r="K33" s="119"/>
      <c r="M33" s="184"/>
      <c r="N33" s="12"/>
      <c r="O33" s="185"/>
      <c r="P33" s="186"/>
      <c r="Q33" s="185"/>
    </row>
    <row r="34" spans="1:17">
      <c r="A34" s="114"/>
      <c r="B34" s="13"/>
      <c r="C34" s="12"/>
      <c r="D34" s="585" t="s">
        <v>596</v>
      </c>
      <c r="E34" s="586">
        <f t="shared" si="0"/>
        <v>34438469.510000005</v>
      </c>
      <c r="F34" s="587">
        <f t="shared" si="2"/>
        <v>3.2142743710816248E-2</v>
      </c>
      <c r="G34" s="588">
        <f t="shared" si="1"/>
        <v>845</v>
      </c>
      <c r="H34" s="589">
        <f t="shared" si="3"/>
        <v>1.6583585194489148E-2</v>
      </c>
      <c r="I34" s="111"/>
      <c r="J34" s="111"/>
      <c r="K34" s="119"/>
      <c r="M34" s="184"/>
      <c r="N34" s="12"/>
      <c r="O34" s="185"/>
      <c r="P34" s="186"/>
      <c r="Q34" s="185"/>
    </row>
    <row r="35" spans="1:17">
      <c r="A35" s="114"/>
      <c r="B35" s="13"/>
      <c r="C35" s="12"/>
      <c r="D35" s="585" t="s">
        <v>597</v>
      </c>
      <c r="E35" s="586">
        <f t="shared" si="0"/>
        <v>31072680.610000037</v>
      </c>
      <c r="F35" s="587">
        <f t="shared" si="2"/>
        <v>2.9001323910903393E-2</v>
      </c>
      <c r="G35" s="588">
        <f t="shared" si="1"/>
        <v>726</v>
      </c>
      <c r="H35" s="589">
        <f t="shared" si="3"/>
        <v>1.4248145386034462E-2</v>
      </c>
      <c r="I35" s="111"/>
      <c r="J35" s="111"/>
      <c r="K35" s="119"/>
      <c r="M35" s="184"/>
      <c r="N35" s="12"/>
      <c r="O35" s="185"/>
      <c r="P35" s="186"/>
      <c r="Q35" s="185"/>
    </row>
    <row r="36" spans="1:17">
      <c r="A36" s="114"/>
      <c r="B36" s="13"/>
      <c r="C36" s="12"/>
      <c r="D36" s="585" t="s">
        <v>598</v>
      </c>
      <c r="E36" s="586">
        <f t="shared" si="0"/>
        <v>28769900.649999972</v>
      </c>
      <c r="F36" s="587">
        <f t="shared" si="2"/>
        <v>2.6852051102621569E-2</v>
      </c>
      <c r="G36" s="588">
        <f t="shared" si="1"/>
        <v>640</v>
      </c>
      <c r="H36" s="589">
        <f t="shared" si="3"/>
        <v>1.2560348549672253E-2</v>
      </c>
      <c r="I36" s="111"/>
      <c r="J36" s="111"/>
      <c r="K36" s="119"/>
      <c r="M36" s="184"/>
      <c r="N36" s="12"/>
      <c r="O36" s="185"/>
      <c r="P36" s="186"/>
      <c r="Q36" s="185"/>
    </row>
    <row r="37" spans="1:17">
      <c r="A37" s="114"/>
      <c r="B37" s="13"/>
      <c r="C37" s="12"/>
      <c r="D37" s="585" t="s">
        <v>599</v>
      </c>
      <c r="E37" s="586">
        <f t="shared" si="0"/>
        <v>27212436.160000026</v>
      </c>
      <c r="F37" s="587">
        <f t="shared" si="2"/>
        <v>2.5398409792393512E-2</v>
      </c>
      <c r="G37" s="588">
        <f t="shared" si="1"/>
        <v>579</v>
      </c>
      <c r="H37" s="589">
        <f t="shared" si="3"/>
        <v>1.1363190328531617E-2</v>
      </c>
      <c r="I37" s="111"/>
      <c r="J37" s="111"/>
      <c r="K37" s="119"/>
      <c r="M37" s="184"/>
      <c r="N37" s="12"/>
      <c r="O37" s="185"/>
      <c r="P37" s="186"/>
      <c r="Q37" s="185"/>
    </row>
    <row r="38" spans="1:17">
      <c r="A38" s="114"/>
      <c r="B38" s="13"/>
      <c r="C38" s="12"/>
      <c r="D38" s="585" t="s">
        <v>600</v>
      </c>
      <c r="E38" s="586">
        <f t="shared" si="0"/>
        <v>22055048.48999998</v>
      </c>
      <c r="F38" s="587">
        <f t="shared" si="2"/>
        <v>2.0584822183745591E-2</v>
      </c>
      <c r="G38" s="588">
        <f t="shared" si="1"/>
        <v>451</v>
      </c>
      <c r="H38" s="589">
        <f t="shared" si="3"/>
        <v>8.8511206185971653E-3</v>
      </c>
      <c r="I38" s="111"/>
      <c r="J38" s="111"/>
      <c r="K38" s="119"/>
      <c r="M38" s="184"/>
      <c r="N38" s="12"/>
      <c r="O38" s="185"/>
      <c r="P38" s="186"/>
      <c r="Q38" s="185"/>
    </row>
    <row r="39" spans="1:17">
      <c r="A39" s="114"/>
      <c r="B39" s="13"/>
      <c r="C39" s="12"/>
      <c r="D39" s="585" t="s">
        <v>601</v>
      </c>
      <c r="E39" s="586">
        <f t="shared" si="0"/>
        <v>33270045.470000006</v>
      </c>
      <c r="F39" s="587">
        <f t="shared" si="2"/>
        <v>3.1052208765517036E-2</v>
      </c>
      <c r="G39" s="588">
        <f t="shared" si="1"/>
        <v>658</v>
      </c>
      <c r="H39" s="589">
        <f t="shared" si="3"/>
        <v>1.2913608352631785E-2</v>
      </c>
      <c r="I39" s="111"/>
      <c r="J39" s="111"/>
      <c r="K39" s="119"/>
      <c r="M39" s="184"/>
      <c r="N39" s="12"/>
      <c r="O39" s="185"/>
      <c r="P39" s="186"/>
      <c r="Q39" s="185"/>
    </row>
    <row r="40" spans="1:17">
      <c r="A40" s="114"/>
      <c r="B40" s="13"/>
      <c r="C40" s="12"/>
      <c r="D40" s="585" t="s">
        <v>602</v>
      </c>
      <c r="E40" s="586">
        <f t="shared" si="0"/>
        <v>27300445.690000031</v>
      </c>
      <c r="F40" s="587">
        <f t="shared" si="2"/>
        <v>2.5480552460379325E-2</v>
      </c>
      <c r="G40" s="588">
        <f t="shared" si="1"/>
        <v>517</v>
      </c>
      <c r="H40" s="589">
        <f t="shared" si="3"/>
        <v>1.0146406562782118E-2</v>
      </c>
      <c r="I40" s="111"/>
      <c r="K40" s="119"/>
      <c r="M40" s="184"/>
      <c r="N40" s="12"/>
      <c r="O40" s="185"/>
      <c r="P40" s="186"/>
      <c r="Q40" s="185"/>
    </row>
    <row r="41" spans="1:17">
      <c r="A41" s="114"/>
      <c r="B41" s="13"/>
      <c r="C41" s="12"/>
      <c r="D41" s="585" t="s">
        <v>603</v>
      </c>
      <c r="E41" s="586">
        <f t="shared" si="0"/>
        <v>22365974.559999999</v>
      </c>
      <c r="F41" s="587">
        <f t="shared" si="2"/>
        <v>2.0875021403490821E-2</v>
      </c>
      <c r="G41" s="588">
        <f t="shared" si="1"/>
        <v>407</v>
      </c>
      <c r="H41" s="589">
        <f t="shared" si="3"/>
        <v>7.9875966558071981E-3</v>
      </c>
      <c r="I41" s="111"/>
      <c r="K41" s="119"/>
      <c r="M41" s="184"/>
      <c r="N41" s="12"/>
      <c r="O41" s="185"/>
      <c r="P41" s="186"/>
      <c r="Q41" s="185"/>
    </row>
    <row r="42" spans="1:17">
      <c r="A42" s="114"/>
      <c r="B42" s="13"/>
      <c r="C42" s="12"/>
      <c r="D42" s="585" t="s">
        <v>604</v>
      </c>
      <c r="E42" s="586">
        <f t="shared" si="0"/>
        <v>19830864.739999995</v>
      </c>
      <c r="F42" s="587">
        <f t="shared" si="2"/>
        <v>1.8508906231056329E-2</v>
      </c>
      <c r="G42" s="588">
        <f t="shared" si="1"/>
        <v>348</v>
      </c>
      <c r="H42" s="589">
        <f t="shared" si="3"/>
        <v>6.8296895238842874E-3</v>
      </c>
      <c r="I42" s="111"/>
      <c r="K42" s="119"/>
      <c r="M42" s="184"/>
      <c r="N42" s="12"/>
      <c r="O42" s="185"/>
      <c r="P42" s="186"/>
      <c r="Q42" s="185"/>
    </row>
    <row r="43" spans="1:17">
      <c r="A43" s="114"/>
      <c r="B43" s="13"/>
      <c r="C43" s="12"/>
      <c r="D43" s="585" t="s">
        <v>605</v>
      </c>
      <c r="E43" s="586">
        <f t="shared" si="0"/>
        <v>17350335.100000013</v>
      </c>
      <c r="F43" s="587">
        <f t="shared" si="2"/>
        <v>1.6193732832817741E-2</v>
      </c>
      <c r="G43" s="588">
        <f t="shared" si="1"/>
        <v>294</v>
      </c>
      <c r="H43" s="589">
        <f t="shared" si="3"/>
        <v>5.7699101150056912E-3</v>
      </c>
      <c r="I43" s="111"/>
      <c r="K43" s="119"/>
      <c r="M43" s="184"/>
      <c r="N43" s="12"/>
      <c r="O43" s="185"/>
      <c r="P43" s="186"/>
      <c r="Q43" s="185"/>
    </row>
    <row r="44" spans="1:17">
      <c r="A44" s="114"/>
      <c r="B44" s="13"/>
      <c r="C44" s="12"/>
      <c r="D44" s="585" t="s">
        <v>606</v>
      </c>
      <c r="E44" s="586">
        <f t="shared" si="0"/>
        <v>16877350.669999994</v>
      </c>
      <c r="F44" s="587">
        <f t="shared" si="2"/>
        <v>1.5752278333561246E-2</v>
      </c>
      <c r="G44" s="588">
        <f t="shared" si="1"/>
        <v>278</v>
      </c>
      <c r="H44" s="589">
        <f t="shared" si="3"/>
        <v>5.4559014012638849E-3</v>
      </c>
      <c r="I44" s="111"/>
      <c r="K44" s="119"/>
      <c r="M44" s="184"/>
      <c r="N44" s="12"/>
      <c r="O44" s="185"/>
      <c r="P44" s="186"/>
      <c r="Q44" s="185"/>
    </row>
    <row r="45" spans="1:17" ht="12.75" customHeight="1">
      <c r="A45" s="114"/>
      <c r="B45" s="13"/>
      <c r="C45" s="12"/>
      <c r="D45" s="585" t="s">
        <v>607</v>
      </c>
      <c r="E45" s="586">
        <f t="shared" si="0"/>
        <v>16000322.039999992</v>
      </c>
      <c r="F45" s="587">
        <f t="shared" si="2"/>
        <v>1.4933713894367666E-2</v>
      </c>
      <c r="G45" s="588">
        <f t="shared" si="1"/>
        <v>254</v>
      </c>
      <c r="H45" s="589">
        <f t="shared" si="3"/>
        <v>4.9848883306511755E-3</v>
      </c>
      <c r="I45" s="111"/>
      <c r="K45" s="119"/>
      <c r="M45" s="184"/>
      <c r="N45" s="12"/>
      <c r="O45" s="185"/>
      <c r="P45" s="186"/>
      <c r="Q45" s="185"/>
    </row>
    <row r="46" spans="1:17">
      <c r="A46" s="114"/>
      <c r="B46" s="13"/>
      <c r="C46" s="12"/>
      <c r="D46" s="585" t="s">
        <v>608</v>
      </c>
      <c r="E46" s="586">
        <f t="shared" ref="E46:E64" si="4">VLOOKUP(CONCATENATE("OPB_",D46),Assets_Daten,3,0)</f>
        <v>13008161.479999987</v>
      </c>
      <c r="F46" s="587">
        <f t="shared" si="2"/>
        <v>1.2141015746333953E-2</v>
      </c>
      <c r="G46" s="588">
        <f t="shared" ref="G46:G64" si="5">VLOOKUP(CONCATENATE("OPB_",D46),Assets_Daten,2,0)</f>
        <v>200</v>
      </c>
      <c r="H46" s="589">
        <f t="shared" si="3"/>
        <v>3.9251089217725793E-3</v>
      </c>
      <c r="I46" s="111"/>
      <c r="K46" s="119"/>
      <c r="M46" s="184"/>
      <c r="N46" s="12"/>
      <c r="O46" s="185"/>
      <c r="P46" s="186"/>
      <c r="Q46" s="185"/>
    </row>
    <row r="47" spans="1:17">
      <c r="A47" s="114"/>
      <c r="B47" s="13"/>
      <c r="C47" s="12"/>
      <c r="D47" s="585" t="s">
        <v>609</v>
      </c>
      <c r="E47" s="586">
        <f t="shared" si="4"/>
        <v>11193418.300000003</v>
      </c>
      <c r="F47" s="587">
        <f t="shared" si="2"/>
        <v>1.0447246372559851E-2</v>
      </c>
      <c r="G47" s="588">
        <f t="shared" si="5"/>
        <v>167</v>
      </c>
      <c r="H47" s="589">
        <f t="shared" si="3"/>
        <v>3.2774659496801035E-3</v>
      </c>
      <c r="I47" s="111"/>
      <c r="K47" s="119"/>
      <c r="M47" s="184"/>
      <c r="N47" s="12"/>
      <c r="O47" s="185"/>
      <c r="P47" s="186"/>
      <c r="Q47" s="185"/>
    </row>
    <row r="48" spans="1:17">
      <c r="A48" s="114"/>
      <c r="B48" s="13"/>
      <c r="C48" s="12"/>
      <c r="D48" s="585" t="s">
        <v>610</v>
      </c>
      <c r="E48" s="586">
        <f t="shared" si="4"/>
        <v>11930526.710000006</v>
      </c>
      <c r="F48" s="587">
        <f t="shared" si="2"/>
        <v>1.1135217906917313E-2</v>
      </c>
      <c r="G48" s="588">
        <f t="shared" si="5"/>
        <v>173</v>
      </c>
      <c r="H48" s="589">
        <f t="shared" si="3"/>
        <v>3.3952192173332808E-3</v>
      </c>
      <c r="I48" s="111"/>
      <c r="K48" s="119"/>
      <c r="M48" s="184"/>
      <c r="N48" s="12"/>
      <c r="O48" s="185"/>
      <c r="P48" s="186"/>
      <c r="Q48" s="185"/>
    </row>
    <row r="49" spans="1:17">
      <c r="A49" s="114"/>
      <c r="B49" s="13"/>
      <c r="C49" s="12"/>
      <c r="D49" s="585" t="s">
        <v>611</v>
      </c>
      <c r="E49" s="586">
        <f t="shared" si="4"/>
        <v>11095407.619999994</v>
      </c>
      <c r="F49" s="587">
        <f t="shared" si="2"/>
        <v>1.0355769247908642E-2</v>
      </c>
      <c r="G49" s="588">
        <f t="shared" si="5"/>
        <v>157</v>
      </c>
      <c r="H49" s="589">
        <f t="shared" si="3"/>
        <v>3.0812105035914745E-3</v>
      </c>
      <c r="I49" s="111"/>
      <c r="K49" s="119"/>
      <c r="M49" s="184"/>
      <c r="N49" s="12"/>
      <c r="O49" s="185"/>
      <c r="P49" s="186"/>
      <c r="Q49" s="185"/>
    </row>
    <row r="50" spans="1:17">
      <c r="A50" s="114"/>
      <c r="B50" s="13"/>
      <c r="C50" s="12"/>
      <c r="D50" s="585" t="s">
        <v>612</v>
      </c>
      <c r="E50" s="586">
        <f t="shared" si="4"/>
        <v>12705017.839999994</v>
      </c>
      <c r="F50" s="587">
        <f t="shared" si="2"/>
        <v>1.1858080166828761E-2</v>
      </c>
      <c r="G50" s="588">
        <f t="shared" si="5"/>
        <v>174</v>
      </c>
      <c r="H50" s="589">
        <f t="shared" si="3"/>
        <v>3.4148447619421437E-3</v>
      </c>
      <c r="I50" s="111"/>
      <c r="K50" s="119"/>
      <c r="M50" s="184"/>
      <c r="N50" s="12"/>
      <c r="O50" s="185"/>
      <c r="P50" s="186"/>
      <c r="Q50" s="185"/>
    </row>
    <row r="51" spans="1:17">
      <c r="A51" s="114"/>
      <c r="B51" s="13"/>
      <c r="C51" s="12"/>
      <c r="D51" s="585" t="s">
        <v>613</v>
      </c>
      <c r="E51" s="586">
        <f t="shared" si="4"/>
        <v>18506497.190000001</v>
      </c>
      <c r="F51" s="587">
        <f t="shared" si="2"/>
        <v>1.7272823230149146E-2</v>
      </c>
      <c r="G51" s="588">
        <f t="shared" si="5"/>
        <v>247</v>
      </c>
      <c r="H51" s="589">
        <f t="shared" si="3"/>
        <v>4.8475095183891353E-3</v>
      </c>
      <c r="I51" s="111"/>
      <c r="K51" s="119"/>
      <c r="M51" s="184"/>
      <c r="N51" s="12"/>
      <c r="O51" s="185"/>
      <c r="P51" s="186"/>
      <c r="Q51" s="185"/>
    </row>
    <row r="52" spans="1:17">
      <c r="A52" s="114"/>
      <c r="B52" s="13"/>
      <c r="C52" s="12"/>
      <c r="D52" s="585" t="s">
        <v>614</v>
      </c>
      <c r="E52" s="586">
        <f t="shared" si="4"/>
        <v>8321454.5399999991</v>
      </c>
      <c r="F52" s="587">
        <f t="shared" si="2"/>
        <v>7.7667325054256815E-3</v>
      </c>
      <c r="G52" s="588">
        <f t="shared" si="5"/>
        <v>108</v>
      </c>
      <c r="H52" s="589">
        <f t="shared" si="3"/>
        <v>2.1195588177571928E-3</v>
      </c>
      <c r="I52" s="111"/>
      <c r="K52" s="119"/>
      <c r="M52" s="184"/>
      <c r="N52" s="12"/>
      <c r="O52" s="185"/>
      <c r="P52" s="186"/>
      <c r="Q52" s="185"/>
    </row>
    <row r="53" spans="1:17">
      <c r="A53" s="114"/>
      <c r="B53" s="13"/>
      <c r="C53" s="12"/>
      <c r="D53" s="585" t="s">
        <v>615</v>
      </c>
      <c r="E53" s="586">
        <f t="shared" si="4"/>
        <v>13243095.320000025</v>
      </c>
      <c r="F53" s="587">
        <f t="shared" si="2"/>
        <v>1.2360288504838113E-2</v>
      </c>
      <c r="G53" s="588">
        <f t="shared" si="5"/>
        <v>168</v>
      </c>
      <c r="H53" s="589">
        <f t="shared" si="3"/>
        <v>3.2970914942889664E-3</v>
      </c>
      <c r="I53" s="111"/>
      <c r="K53" s="119"/>
      <c r="M53" s="184"/>
      <c r="N53" s="12"/>
      <c r="O53" s="185"/>
      <c r="P53" s="186"/>
      <c r="Q53" s="185"/>
    </row>
    <row r="54" spans="1:17">
      <c r="A54" s="114"/>
      <c r="B54" s="13"/>
      <c r="C54" s="12"/>
      <c r="D54" s="585" t="s">
        <v>616</v>
      </c>
      <c r="E54" s="586">
        <f t="shared" si="4"/>
        <v>10122040.210000005</v>
      </c>
      <c r="F54" s="587">
        <f t="shared" si="2"/>
        <v>9.4472881324221998E-3</v>
      </c>
      <c r="G54" s="588">
        <f t="shared" si="5"/>
        <v>125</v>
      </c>
      <c r="H54" s="589">
        <f t="shared" si="3"/>
        <v>2.453193076107862E-3</v>
      </c>
      <c r="I54" s="111"/>
      <c r="K54" s="119"/>
      <c r="M54" s="184"/>
      <c r="N54" s="12"/>
      <c r="O54" s="185"/>
      <c r="P54" s="186"/>
      <c r="Q54" s="185"/>
    </row>
    <row r="55" spans="1:17">
      <c r="A55" s="114"/>
      <c r="B55" s="13"/>
      <c r="C55" s="12"/>
      <c r="D55" s="585" t="s">
        <v>617</v>
      </c>
      <c r="E55" s="586">
        <f t="shared" si="4"/>
        <v>8047037.7199999997</v>
      </c>
      <c r="F55" s="587">
        <f t="shared" si="2"/>
        <v>7.5106087682010663E-3</v>
      </c>
      <c r="G55" s="588">
        <f t="shared" si="5"/>
        <v>97</v>
      </c>
      <c r="H55" s="589">
        <f t="shared" si="3"/>
        <v>1.903677827059701E-3</v>
      </c>
      <c r="I55" s="111"/>
      <c r="K55" s="119"/>
      <c r="M55" s="184"/>
      <c r="N55" s="12"/>
      <c r="O55" s="185"/>
      <c r="P55" s="186"/>
      <c r="Q55" s="185"/>
    </row>
    <row r="56" spans="1:17">
      <c r="A56" s="114"/>
      <c r="B56" s="13"/>
      <c r="C56" s="12"/>
      <c r="D56" s="585" t="s">
        <v>618</v>
      </c>
      <c r="E56" s="586">
        <f t="shared" si="4"/>
        <v>7560451.3800000027</v>
      </c>
      <c r="F56" s="587">
        <f t="shared" si="2"/>
        <v>7.0564590849445993E-3</v>
      </c>
      <c r="G56" s="588">
        <f t="shared" si="5"/>
        <v>89</v>
      </c>
      <c r="H56" s="589">
        <f t="shared" si="3"/>
        <v>1.7466734701887976E-3</v>
      </c>
      <c r="I56" s="111"/>
      <c r="K56" s="119"/>
      <c r="M56" s="184"/>
      <c r="N56" s="12"/>
      <c r="O56" s="185"/>
      <c r="P56" s="186"/>
      <c r="Q56" s="185"/>
    </row>
    <row r="57" spans="1:17">
      <c r="A57" s="114"/>
      <c r="B57" s="13"/>
      <c r="C57" s="12"/>
      <c r="D57" s="585" t="s">
        <v>619</v>
      </c>
      <c r="E57" s="586">
        <f t="shared" si="4"/>
        <v>3823869.95</v>
      </c>
      <c r="F57" s="587">
        <f t="shared" si="2"/>
        <v>3.5689644033295989E-3</v>
      </c>
      <c r="G57" s="588">
        <f t="shared" si="5"/>
        <v>44</v>
      </c>
      <c r="H57" s="589">
        <f t="shared" si="3"/>
        <v>8.6352396278996737E-4</v>
      </c>
      <c r="I57" s="111"/>
      <c r="K57" s="119"/>
      <c r="M57" s="184"/>
      <c r="N57" s="12"/>
      <c r="O57" s="185"/>
      <c r="P57" s="186"/>
      <c r="Q57" s="185"/>
    </row>
    <row r="58" spans="1:17">
      <c r="A58" s="114"/>
      <c r="B58" s="13"/>
      <c r="C58" s="12"/>
      <c r="D58" s="585" t="s">
        <v>620</v>
      </c>
      <c r="E58" s="586">
        <f t="shared" si="4"/>
        <v>2217802.25</v>
      </c>
      <c r="F58" s="587">
        <f t="shared" si="2"/>
        <v>2.069959854119592E-3</v>
      </c>
      <c r="G58" s="588">
        <f t="shared" si="5"/>
        <v>25</v>
      </c>
      <c r="H58" s="589">
        <f t="shared" si="3"/>
        <v>4.9063861522157242E-4</v>
      </c>
      <c r="I58" s="111"/>
      <c r="K58" s="119"/>
      <c r="M58" s="184"/>
      <c r="N58" s="12"/>
      <c r="O58" s="185"/>
      <c r="P58" s="186"/>
      <c r="Q58" s="185"/>
    </row>
    <row r="59" spans="1:17">
      <c r="A59" s="114"/>
      <c r="B59" s="13"/>
      <c r="C59" s="12"/>
      <c r="D59" s="585" t="s">
        <v>621</v>
      </c>
      <c r="E59" s="586">
        <f t="shared" si="4"/>
        <v>910128.32</v>
      </c>
      <c r="F59" s="587">
        <f t="shared" si="2"/>
        <v>8.4945764866877068E-4</v>
      </c>
      <c r="G59" s="588">
        <f t="shared" si="5"/>
        <v>10</v>
      </c>
      <c r="H59" s="589">
        <f t="shared" si="3"/>
        <v>1.9625544608862895E-4</v>
      </c>
      <c r="I59" s="111"/>
      <c r="K59" s="119"/>
      <c r="M59" s="184"/>
      <c r="N59" s="12"/>
      <c r="O59" s="185"/>
      <c r="P59" s="186"/>
      <c r="Q59" s="185"/>
    </row>
    <row r="60" spans="1:17">
      <c r="A60" s="114"/>
      <c r="B60" s="13"/>
      <c r="C60" s="12"/>
      <c r="D60" s="585" t="s">
        <v>622</v>
      </c>
      <c r="E60" s="586">
        <f t="shared" si="4"/>
        <v>928026.11999999988</v>
      </c>
      <c r="F60" s="587">
        <f t="shared" si="2"/>
        <v>8.6616235147852821E-4</v>
      </c>
      <c r="G60" s="588">
        <f t="shared" si="5"/>
        <v>10</v>
      </c>
      <c r="H60" s="589">
        <f t="shared" si="3"/>
        <v>1.9625544608862895E-4</v>
      </c>
      <c r="I60" s="111"/>
      <c r="K60" s="119"/>
      <c r="M60" s="184"/>
      <c r="N60" s="12"/>
      <c r="O60" s="185"/>
      <c r="P60" s="186"/>
      <c r="Q60" s="185"/>
    </row>
    <row r="61" spans="1:17">
      <c r="A61" s="114"/>
      <c r="B61" s="13"/>
      <c r="C61" s="12"/>
      <c r="D61" s="585" t="s">
        <v>623</v>
      </c>
      <c r="E61" s="586">
        <f t="shared" si="4"/>
        <v>376867.74</v>
      </c>
      <c r="F61" s="587">
        <f t="shared" si="2"/>
        <v>3.5174510807389623E-4</v>
      </c>
      <c r="G61" s="588">
        <f t="shared" si="5"/>
        <v>4</v>
      </c>
      <c r="H61" s="589">
        <f t="shared" si="3"/>
        <v>7.8502178435451583E-5</v>
      </c>
      <c r="I61" s="111"/>
      <c r="K61" s="119"/>
      <c r="M61" s="184"/>
      <c r="N61" s="12"/>
      <c r="O61" s="185"/>
      <c r="P61" s="186"/>
      <c r="Q61" s="185"/>
    </row>
    <row r="62" spans="1:17">
      <c r="A62" s="114"/>
      <c r="B62" s="13"/>
      <c r="C62" s="12"/>
      <c r="D62" s="585" t="s">
        <v>624</v>
      </c>
      <c r="E62" s="586">
        <f t="shared" si="4"/>
        <v>192511.51</v>
      </c>
      <c r="F62" s="587">
        <f t="shared" si="2"/>
        <v>1.7967837175561635E-4</v>
      </c>
      <c r="G62" s="588">
        <f t="shared" si="5"/>
        <v>2</v>
      </c>
      <c r="H62" s="589">
        <f t="shared" si="3"/>
        <v>3.9251089217725792E-5</v>
      </c>
      <c r="I62" s="111"/>
      <c r="K62" s="119"/>
      <c r="M62" s="184"/>
      <c r="N62" s="12"/>
      <c r="O62" s="185"/>
      <c r="P62" s="186"/>
      <c r="Q62" s="185"/>
    </row>
    <row r="63" spans="1:17">
      <c r="A63" s="114"/>
      <c r="B63" s="13"/>
      <c r="C63" s="12"/>
      <c r="D63" s="585" t="s">
        <v>625</v>
      </c>
      <c r="E63" s="586">
        <f t="shared" si="4"/>
        <v>297584.40000000002</v>
      </c>
      <c r="F63" s="587">
        <f t="shared" si="2"/>
        <v>2.7774692771290421E-4</v>
      </c>
      <c r="G63" s="588">
        <f t="shared" si="5"/>
        <v>3</v>
      </c>
      <c r="H63" s="589">
        <f t="shared" si="3"/>
        <v>5.8876633826588691E-5</v>
      </c>
      <c r="I63" s="111"/>
      <c r="K63" s="119"/>
      <c r="M63" s="184"/>
      <c r="N63" s="12"/>
      <c r="O63" s="185"/>
      <c r="P63" s="186"/>
      <c r="Q63" s="185"/>
    </row>
    <row r="64" spans="1:17" ht="13" thickBot="1">
      <c r="A64" s="114"/>
      <c r="B64" s="13"/>
      <c r="C64" s="12"/>
      <c r="D64" s="585" t="s">
        <v>701</v>
      </c>
      <c r="E64" s="586">
        <f t="shared" si="4"/>
        <v>437781.72000000003</v>
      </c>
      <c r="F64" s="587">
        <f t="shared" si="2"/>
        <v>4.0859846060099548E-4</v>
      </c>
      <c r="G64" s="588">
        <f t="shared" si="5"/>
        <v>4</v>
      </c>
      <c r="H64" s="589">
        <f t="shared" si="3"/>
        <v>7.8502178435451583E-5</v>
      </c>
      <c r="I64" s="111"/>
      <c r="K64" s="119"/>
      <c r="M64" s="184"/>
      <c r="N64" s="12"/>
      <c r="O64" s="185"/>
      <c r="P64" s="186"/>
      <c r="Q64" s="185"/>
    </row>
    <row r="65" spans="1:17" ht="14" thickTop="1" thickBot="1">
      <c r="A65" s="114"/>
      <c r="B65" s="191"/>
      <c r="C65" s="220"/>
      <c r="D65" s="591" t="s">
        <v>36</v>
      </c>
      <c r="E65" s="592">
        <f>SUM(E14:E64)</f>
        <v>1071422832.4699994</v>
      </c>
      <c r="F65" s="593">
        <f>SUM(F14:F64)</f>
        <v>0.99999999999999978</v>
      </c>
      <c r="G65" s="594">
        <f>SUM(G14:G64)</f>
        <v>50954</v>
      </c>
      <c r="H65" s="595">
        <f>SUM(H14:H64)</f>
        <v>0.99999999999999967</v>
      </c>
      <c r="I65" s="111"/>
      <c r="K65" s="119"/>
      <c r="M65" s="596"/>
      <c r="N65" s="597"/>
      <c r="O65" s="598"/>
      <c r="P65" s="599"/>
      <c r="Q65" s="598"/>
    </row>
    <row r="66" spans="1:17" ht="13">
      <c r="A66" s="114"/>
      <c r="B66" s="191"/>
      <c r="C66" s="220"/>
      <c r="D66" s="596"/>
      <c r="E66" s="597"/>
      <c r="F66" s="598"/>
      <c r="G66" s="599"/>
      <c r="H66" s="598"/>
      <c r="I66" s="111"/>
      <c r="K66" s="119"/>
      <c r="M66" s="596"/>
      <c r="N66" s="597"/>
      <c r="O66" s="598"/>
      <c r="P66" s="599"/>
      <c r="Q66" s="598"/>
    </row>
    <row r="67" spans="1:17" ht="13">
      <c r="A67" s="114"/>
      <c r="B67" s="191"/>
      <c r="C67" s="220"/>
      <c r="D67" s="596"/>
      <c r="E67" s="597"/>
      <c r="F67" s="598"/>
      <c r="G67" s="599"/>
      <c r="H67" s="598"/>
      <c r="I67" s="111"/>
      <c r="K67" s="119"/>
      <c r="M67" s="596"/>
      <c r="N67" s="597"/>
      <c r="O67" s="598"/>
      <c r="P67" s="599"/>
      <c r="Q67" s="598"/>
    </row>
    <row r="68" spans="1:17" ht="13.5" thickBot="1">
      <c r="A68" s="114"/>
      <c r="B68" s="197"/>
      <c r="C68" s="220"/>
      <c r="D68" s="144" t="s">
        <v>70</v>
      </c>
      <c r="E68" s="144" t="s">
        <v>60</v>
      </c>
      <c r="I68" s="111"/>
      <c r="K68" s="119"/>
      <c r="M68" s="144"/>
      <c r="N68" s="144"/>
    </row>
    <row r="69" spans="1:17" ht="13" thickBot="1">
      <c r="A69" s="114"/>
      <c r="B69" s="197"/>
      <c r="C69" s="220"/>
      <c r="D69" s="448" t="s">
        <v>61</v>
      </c>
      <c r="E69" s="768">
        <f>E65/G65</f>
        <v>21027.256593594211</v>
      </c>
      <c r="I69" s="111"/>
      <c r="K69" s="119"/>
      <c r="M69" s="191"/>
      <c r="N69" s="220"/>
    </row>
    <row r="70" spans="1:17">
      <c r="A70" s="114"/>
      <c r="I70" s="111"/>
      <c r="K70" s="119"/>
    </row>
    <row r="71" spans="1:17">
      <c r="A71" s="150"/>
      <c r="B71" s="51"/>
      <c r="C71" s="51"/>
      <c r="D71" s="51"/>
      <c r="E71" s="51"/>
      <c r="F71" s="51"/>
      <c r="G71" s="51"/>
      <c r="H71" s="51"/>
      <c r="I71" s="344"/>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165</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142</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4" thickBot="1">
      <c r="A13" s="114"/>
      <c r="B13" s="433"/>
      <c r="D13" s="420" t="s">
        <v>71</v>
      </c>
      <c r="E13" s="421" t="s">
        <v>72</v>
      </c>
      <c r="F13" s="421" t="s">
        <v>114</v>
      </c>
      <c r="G13" s="584" t="s">
        <v>62</v>
      </c>
      <c r="H13" s="568" t="s">
        <v>115</v>
      </c>
      <c r="I13" s="111"/>
      <c r="K13" s="119"/>
      <c r="M13" s="574"/>
      <c r="N13" s="202"/>
      <c r="O13" s="202"/>
      <c r="P13" s="434"/>
      <c r="Q13" s="434"/>
    </row>
    <row r="14" spans="1:17">
      <c r="A14" s="114"/>
      <c r="B14" s="13"/>
      <c r="C14" s="12"/>
      <c r="D14" s="585" t="s">
        <v>533</v>
      </c>
      <c r="E14" s="586">
        <f t="shared" ref="E14:E54" si="0">VLOOKUP(CONCATENATE("CPB_",D14),Assets_Daten,3,0)</f>
        <v>4007312.180000003</v>
      </c>
      <c r="F14" s="587">
        <f>E14/$E$55</f>
        <v>4.244556273393138E-3</v>
      </c>
      <c r="G14" s="588">
        <f t="shared" ref="G14:G54" si="1">VLOOKUP(CONCATENATE("CPB_",D14),Assets_Daten,2,0)</f>
        <v>3957</v>
      </c>
      <c r="H14" s="589">
        <f>G14/$G$55</f>
        <v>7.7658280017270473E-2</v>
      </c>
      <c r="I14" s="111"/>
      <c r="K14" s="119"/>
      <c r="M14" s="184"/>
      <c r="N14" s="12"/>
      <c r="O14" s="185"/>
      <c r="P14" s="186"/>
      <c r="Q14" s="185"/>
    </row>
    <row r="15" spans="1:17">
      <c r="A15" s="114"/>
      <c r="B15" s="13"/>
      <c r="C15" s="12"/>
      <c r="D15" s="585" t="s">
        <v>534</v>
      </c>
      <c r="E15" s="586">
        <f t="shared" si="0"/>
        <v>12922022.339999994</v>
      </c>
      <c r="F15" s="587">
        <f t="shared" ref="F15:F54" si="2">E15/$E$55</f>
        <v>1.3687042217951986E-2</v>
      </c>
      <c r="G15" s="588">
        <f t="shared" si="1"/>
        <v>4303</v>
      </c>
      <c r="H15" s="589">
        <f t="shared" ref="H15:H54" si="3">G15/$G$55</f>
        <v>8.4448718451937035E-2</v>
      </c>
      <c r="I15" s="111"/>
      <c r="K15" s="119"/>
      <c r="M15" s="184"/>
      <c r="N15" s="12"/>
      <c r="O15" s="185"/>
      <c r="P15" s="186"/>
      <c r="Q15" s="185"/>
    </row>
    <row r="16" spans="1:17">
      <c r="A16" s="114"/>
      <c r="B16" s="13"/>
      <c r="C16" s="12"/>
      <c r="D16" s="585" t="s">
        <v>535</v>
      </c>
      <c r="E16" s="586">
        <f t="shared" si="0"/>
        <v>23753946.420000006</v>
      </c>
      <c r="F16" s="587">
        <f t="shared" si="2"/>
        <v>2.516024651088087E-2</v>
      </c>
      <c r="G16" s="588">
        <f t="shared" si="1"/>
        <v>4791</v>
      </c>
      <c r="H16" s="589">
        <f t="shared" si="3"/>
        <v>9.4025984221062134E-2</v>
      </c>
      <c r="I16" s="111"/>
      <c r="K16" s="119"/>
      <c r="M16" s="184"/>
      <c r="N16" s="12"/>
      <c r="O16" s="185"/>
      <c r="P16" s="186"/>
      <c r="Q16" s="185"/>
    </row>
    <row r="17" spans="1:17">
      <c r="A17" s="114"/>
      <c r="B17" s="13"/>
      <c r="C17" s="12"/>
      <c r="D17" s="585" t="s">
        <v>536</v>
      </c>
      <c r="E17" s="586">
        <f t="shared" si="0"/>
        <v>29005789.639999967</v>
      </c>
      <c r="F17" s="587">
        <f t="shared" si="2"/>
        <v>3.0723013544001816E-2</v>
      </c>
      <c r="G17" s="588">
        <f t="shared" si="1"/>
        <v>4141</v>
      </c>
      <c r="H17" s="589">
        <f t="shared" si="3"/>
        <v>8.1269380225301252E-2</v>
      </c>
      <c r="I17" s="111"/>
      <c r="K17" s="119"/>
      <c r="M17" s="184"/>
      <c r="N17" s="12"/>
      <c r="O17" s="185"/>
      <c r="P17" s="186"/>
      <c r="Q17" s="185"/>
    </row>
    <row r="18" spans="1:17">
      <c r="A18" s="114"/>
      <c r="B18" s="13"/>
      <c r="C18" s="12"/>
      <c r="D18" s="585" t="s">
        <v>537</v>
      </c>
      <c r="E18" s="586">
        <f t="shared" si="0"/>
        <v>38231753.939999931</v>
      </c>
      <c r="F18" s="587">
        <f t="shared" si="2"/>
        <v>4.0495180744528216E-2</v>
      </c>
      <c r="G18" s="588">
        <f t="shared" si="1"/>
        <v>4236</v>
      </c>
      <c r="H18" s="589">
        <f t="shared" si="3"/>
        <v>8.3133806963143222E-2</v>
      </c>
      <c r="I18" s="111"/>
      <c r="K18" s="119"/>
      <c r="M18" s="184"/>
      <c r="N18" s="12"/>
      <c r="O18" s="185"/>
      <c r="P18" s="186"/>
      <c r="Q18" s="185"/>
    </row>
    <row r="19" spans="1:17">
      <c r="A19" s="114"/>
      <c r="B19" s="13"/>
      <c r="C19" s="12"/>
      <c r="D19" s="585" t="s">
        <v>538</v>
      </c>
      <c r="E19" s="586">
        <f t="shared" si="0"/>
        <v>29655435.16</v>
      </c>
      <c r="F19" s="587">
        <f t="shared" si="2"/>
        <v>3.1411119896474181E-2</v>
      </c>
      <c r="G19" s="588">
        <f t="shared" si="1"/>
        <v>2697</v>
      </c>
      <c r="H19" s="589">
        <f t="shared" si="3"/>
        <v>5.2930093810103232E-2</v>
      </c>
      <c r="I19" s="111"/>
      <c r="K19" s="119"/>
      <c r="M19" s="184"/>
      <c r="N19" s="12"/>
      <c r="O19" s="185"/>
      <c r="P19" s="186"/>
      <c r="Q19" s="185"/>
    </row>
    <row r="20" spans="1:17">
      <c r="A20" s="114"/>
      <c r="B20" s="13"/>
      <c r="C20" s="12"/>
      <c r="D20" s="585" t="s">
        <v>539</v>
      </c>
      <c r="E20" s="586">
        <f t="shared" si="0"/>
        <v>33046532.67000002</v>
      </c>
      <c r="F20" s="587">
        <f t="shared" si="2"/>
        <v>3.5002979867253509E-2</v>
      </c>
      <c r="G20" s="588">
        <f t="shared" si="1"/>
        <v>2535</v>
      </c>
      <c r="H20" s="589">
        <f t="shared" si="3"/>
        <v>4.9750755583467442E-2</v>
      </c>
      <c r="I20" s="111"/>
      <c r="K20" s="119"/>
      <c r="M20" s="184"/>
      <c r="N20" s="12"/>
      <c r="O20" s="185"/>
      <c r="P20" s="186"/>
      <c r="Q20" s="185"/>
    </row>
    <row r="21" spans="1:17">
      <c r="A21" s="114"/>
      <c r="B21" s="13"/>
      <c r="C21" s="12"/>
      <c r="D21" s="107" t="s">
        <v>540</v>
      </c>
      <c r="E21" s="586">
        <f t="shared" si="0"/>
        <v>32207167.600000001</v>
      </c>
      <c r="F21" s="587">
        <f t="shared" si="2"/>
        <v>3.4113922036591644E-2</v>
      </c>
      <c r="G21" s="588">
        <f t="shared" si="1"/>
        <v>2158</v>
      </c>
      <c r="H21" s="589">
        <f t="shared" si="3"/>
        <v>4.2351925265926127E-2</v>
      </c>
      <c r="I21" s="111"/>
      <c r="K21" s="119"/>
      <c r="M21" s="184"/>
      <c r="N21" s="12"/>
      <c r="O21" s="185"/>
      <c r="P21" s="186"/>
      <c r="Q21" s="185"/>
    </row>
    <row r="22" spans="1:17">
      <c r="A22" s="114"/>
      <c r="B22" s="13"/>
      <c r="C22" s="12"/>
      <c r="D22" s="585" t="s">
        <v>541</v>
      </c>
      <c r="E22" s="586">
        <f t="shared" si="0"/>
        <v>34191931.399999976</v>
      </c>
      <c r="F22" s="587">
        <f t="shared" si="2"/>
        <v>3.6216189406860139E-2</v>
      </c>
      <c r="G22" s="588">
        <f t="shared" si="1"/>
        <v>2011</v>
      </c>
      <c r="H22" s="589">
        <f t="shared" si="3"/>
        <v>3.9466970208423283E-2</v>
      </c>
      <c r="I22" s="111"/>
      <c r="K22" s="119"/>
      <c r="M22" s="184"/>
      <c r="N22" s="12"/>
      <c r="O22" s="185"/>
      <c r="P22" s="186"/>
      <c r="Q22" s="185"/>
    </row>
    <row r="23" spans="1:17">
      <c r="A23" s="114"/>
      <c r="B23" s="13"/>
      <c r="C23" s="12"/>
      <c r="D23" s="585" t="s">
        <v>542</v>
      </c>
      <c r="E23" s="586">
        <f t="shared" si="0"/>
        <v>40499570.430000059</v>
      </c>
      <c r="F23" s="587">
        <f t="shared" si="2"/>
        <v>4.2897258316017657E-2</v>
      </c>
      <c r="G23" s="588">
        <f t="shared" si="1"/>
        <v>2139</v>
      </c>
      <c r="H23" s="589">
        <f t="shared" si="3"/>
        <v>4.1979039918357733E-2</v>
      </c>
      <c r="I23" s="111"/>
      <c r="K23" s="119"/>
      <c r="M23" s="184"/>
      <c r="N23" s="12"/>
      <c r="O23" s="185"/>
      <c r="P23" s="186"/>
      <c r="Q23" s="185"/>
    </row>
    <row r="24" spans="1:17">
      <c r="A24" s="114"/>
      <c r="B24" s="13"/>
      <c r="C24" s="12"/>
      <c r="D24" s="585" t="s">
        <v>543</v>
      </c>
      <c r="E24" s="586">
        <f t="shared" si="0"/>
        <v>31999561.429999966</v>
      </c>
      <c r="F24" s="587">
        <f t="shared" si="2"/>
        <v>3.3894025000451883E-2</v>
      </c>
      <c r="G24" s="588">
        <f t="shared" si="1"/>
        <v>1523</v>
      </c>
      <c r="H24" s="589">
        <f t="shared" si="3"/>
        <v>2.9889704439298191E-2</v>
      </c>
      <c r="I24" s="111"/>
      <c r="K24" s="119"/>
      <c r="M24" s="184"/>
      <c r="N24" s="12"/>
      <c r="O24" s="185"/>
      <c r="P24" s="186"/>
      <c r="Q24" s="185"/>
    </row>
    <row r="25" spans="1:17">
      <c r="A25" s="114"/>
      <c r="B25" s="13"/>
      <c r="C25" s="12"/>
      <c r="D25" s="585" t="s">
        <v>544</v>
      </c>
      <c r="E25" s="586">
        <f t="shared" si="0"/>
        <v>40236662.160000019</v>
      </c>
      <c r="F25" s="587">
        <f t="shared" si="2"/>
        <v>4.2618785140824296E-2</v>
      </c>
      <c r="G25" s="588">
        <f t="shared" si="1"/>
        <v>1751</v>
      </c>
      <c r="H25" s="589">
        <f t="shared" si="3"/>
        <v>3.4364328610118934E-2</v>
      </c>
      <c r="I25" s="111"/>
      <c r="K25" s="119"/>
      <c r="M25" s="184"/>
      <c r="N25" s="12"/>
      <c r="O25" s="185"/>
      <c r="P25" s="186"/>
      <c r="Q25" s="185"/>
    </row>
    <row r="26" spans="1:17">
      <c r="A26" s="114"/>
      <c r="B26" s="13"/>
      <c r="C26" s="12"/>
      <c r="D26" s="585" t="s">
        <v>545</v>
      </c>
      <c r="E26" s="586">
        <f t="shared" si="0"/>
        <v>34314043.31000001</v>
      </c>
      <c r="F26" s="587">
        <f t="shared" si="2"/>
        <v>3.6345530683597568E-2</v>
      </c>
      <c r="G26" s="588">
        <f t="shared" si="1"/>
        <v>1375</v>
      </c>
      <c r="H26" s="589">
        <f t="shared" si="3"/>
        <v>2.6985123837186483E-2</v>
      </c>
      <c r="I26" s="111"/>
      <c r="K26" s="119"/>
      <c r="M26" s="184"/>
      <c r="N26" s="12"/>
      <c r="O26" s="185"/>
      <c r="P26" s="186"/>
      <c r="Q26" s="185"/>
    </row>
    <row r="27" spans="1:17">
      <c r="A27" s="114"/>
      <c r="B27" s="13"/>
      <c r="C27" s="12"/>
      <c r="D27" s="585" t="s">
        <v>546</v>
      </c>
      <c r="E27" s="586">
        <f t="shared" si="0"/>
        <v>35532454.189999983</v>
      </c>
      <c r="F27" s="587">
        <f t="shared" si="2"/>
        <v>3.7636074896769983E-2</v>
      </c>
      <c r="G27" s="588">
        <f t="shared" si="1"/>
        <v>1314</v>
      </c>
      <c r="H27" s="589">
        <f t="shared" si="3"/>
        <v>2.5787965616045846E-2</v>
      </c>
      <c r="I27" s="111"/>
      <c r="K27" s="119"/>
      <c r="M27" s="184"/>
      <c r="N27" s="12"/>
      <c r="O27" s="185"/>
      <c r="P27" s="186"/>
      <c r="Q27" s="185"/>
    </row>
    <row r="28" spans="1:17">
      <c r="A28" s="114"/>
      <c r="B28" s="13"/>
      <c r="C28" s="12"/>
      <c r="D28" s="585" t="s">
        <v>547</v>
      </c>
      <c r="E28" s="586">
        <f t="shared" si="0"/>
        <v>37018215.029999949</v>
      </c>
      <c r="F28" s="587">
        <f t="shared" si="2"/>
        <v>3.9209796935611413E-2</v>
      </c>
      <c r="G28" s="588">
        <f t="shared" si="1"/>
        <v>1277</v>
      </c>
      <c r="H28" s="589">
        <f t="shared" si="3"/>
        <v>2.5061820465517918E-2</v>
      </c>
      <c r="I28" s="111"/>
      <c r="K28" s="119"/>
      <c r="M28" s="184"/>
      <c r="N28" s="12"/>
      <c r="O28" s="185"/>
      <c r="P28" s="186"/>
      <c r="Q28" s="185"/>
    </row>
    <row r="29" spans="1:17">
      <c r="A29" s="114"/>
      <c r="B29" s="13"/>
      <c r="C29" s="12"/>
      <c r="D29" s="585" t="s">
        <v>548</v>
      </c>
      <c r="E29" s="586">
        <f t="shared" si="0"/>
        <v>32714268.050000038</v>
      </c>
      <c r="F29" s="587">
        <f t="shared" si="2"/>
        <v>3.4651044252083263E-2</v>
      </c>
      <c r="G29" s="588">
        <f t="shared" si="1"/>
        <v>1055</v>
      </c>
      <c r="H29" s="589">
        <f t="shared" si="3"/>
        <v>2.0704949562350354E-2</v>
      </c>
      <c r="I29" s="111"/>
      <c r="K29" s="119"/>
      <c r="M29" s="184"/>
      <c r="N29" s="12"/>
      <c r="O29" s="185"/>
      <c r="P29" s="186"/>
      <c r="Q29" s="185"/>
    </row>
    <row r="30" spans="1:17">
      <c r="A30" s="114"/>
      <c r="B30" s="13"/>
      <c r="C30" s="12"/>
      <c r="D30" s="585" t="s">
        <v>549</v>
      </c>
      <c r="E30" s="586">
        <f t="shared" si="0"/>
        <v>33843358.479999945</v>
      </c>
      <c r="F30" s="587">
        <f t="shared" si="2"/>
        <v>3.5846979994699713E-2</v>
      </c>
      <c r="G30" s="588">
        <f t="shared" si="1"/>
        <v>1027</v>
      </c>
      <c r="H30" s="589">
        <f t="shared" si="3"/>
        <v>2.0155434313302193E-2</v>
      </c>
      <c r="I30" s="111"/>
      <c r="K30" s="119"/>
      <c r="M30" s="184"/>
      <c r="N30" s="12"/>
      <c r="O30" s="185"/>
      <c r="P30" s="186"/>
      <c r="Q30" s="185"/>
    </row>
    <row r="31" spans="1:17">
      <c r="A31" s="114"/>
      <c r="B31" s="13"/>
      <c r="C31" s="12"/>
      <c r="D31" s="585" t="s">
        <v>550</v>
      </c>
      <c r="E31" s="586">
        <f t="shared" si="0"/>
        <v>32772828.909999974</v>
      </c>
      <c r="F31" s="587">
        <f t="shared" si="2"/>
        <v>3.4713072078846691E-2</v>
      </c>
      <c r="G31" s="588">
        <f t="shared" si="1"/>
        <v>937</v>
      </c>
      <c r="H31" s="589">
        <f t="shared" si="3"/>
        <v>1.8389135298504534E-2</v>
      </c>
      <c r="I31" s="111"/>
      <c r="K31" s="119"/>
      <c r="M31" s="184"/>
      <c r="N31" s="12"/>
      <c r="O31" s="185"/>
      <c r="P31" s="186"/>
      <c r="Q31" s="185"/>
    </row>
    <row r="32" spans="1:17">
      <c r="A32" s="114"/>
      <c r="B32" s="13"/>
      <c r="C32" s="12"/>
      <c r="D32" s="585" t="s">
        <v>551</v>
      </c>
      <c r="E32" s="586">
        <f t="shared" si="0"/>
        <v>32133182.639999986</v>
      </c>
      <c r="F32" s="587">
        <f t="shared" si="2"/>
        <v>3.4035556959951967E-2</v>
      </c>
      <c r="G32" s="588">
        <f t="shared" si="1"/>
        <v>869</v>
      </c>
      <c r="H32" s="589">
        <f t="shared" si="3"/>
        <v>1.7054598265101858E-2</v>
      </c>
      <c r="I32" s="111"/>
      <c r="K32" s="119"/>
      <c r="M32" s="184"/>
      <c r="N32" s="12"/>
      <c r="O32" s="185"/>
      <c r="P32" s="186"/>
      <c r="Q32" s="185"/>
    </row>
    <row r="33" spans="1:17">
      <c r="A33" s="114"/>
      <c r="B33" s="13"/>
      <c r="C33" s="12"/>
      <c r="D33" s="585" t="s">
        <v>552</v>
      </c>
      <c r="E33" s="586">
        <f t="shared" si="0"/>
        <v>29911580.240000021</v>
      </c>
      <c r="F33" s="587">
        <f t="shared" si="2"/>
        <v>3.168242948189632E-2</v>
      </c>
      <c r="G33" s="588">
        <f t="shared" si="1"/>
        <v>767</v>
      </c>
      <c r="H33" s="589">
        <f t="shared" si="3"/>
        <v>1.5052792714997841E-2</v>
      </c>
      <c r="I33" s="111"/>
      <c r="K33" s="119"/>
      <c r="M33" s="184"/>
      <c r="N33" s="12"/>
      <c r="O33" s="185"/>
      <c r="P33" s="186"/>
      <c r="Q33" s="185"/>
    </row>
    <row r="34" spans="1:17">
      <c r="A34" s="114"/>
      <c r="B34" s="13"/>
      <c r="C34" s="12"/>
      <c r="D34" s="585" t="s">
        <v>553</v>
      </c>
      <c r="E34" s="586">
        <f t="shared" si="0"/>
        <v>28633312.900000006</v>
      </c>
      <c r="F34" s="587">
        <f t="shared" si="2"/>
        <v>3.0328485138815312E-2</v>
      </c>
      <c r="G34" s="588">
        <f t="shared" si="1"/>
        <v>698</v>
      </c>
      <c r="H34" s="589">
        <f t="shared" si="3"/>
        <v>1.3698630136986301E-2</v>
      </c>
      <c r="I34" s="111"/>
      <c r="K34" s="119"/>
      <c r="M34" s="184"/>
      <c r="N34" s="12"/>
      <c r="O34" s="185"/>
      <c r="P34" s="186"/>
      <c r="Q34" s="185"/>
    </row>
    <row r="35" spans="1:17">
      <c r="A35" s="114"/>
      <c r="B35" s="13"/>
      <c r="C35" s="12"/>
      <c r="D35" s="585" t="s">
        <v>554</v>
      </c>
      <c r="E35" s="586">
        <f t="shared" si="0"/>
        <v>25929874.800000008</v>
      </c>
      <c r="F35" s="587">
        <f t="shared" si="2"/>
        <v>2.7464995939158049E-2</v>
      </c>
      <c r="G35" s="588">
        <f t="shared" si="1"/>
        <v>603</v>
      </c>
      <c r="H35" s="589">
        <f t="shared" si="3"/>
        <v>1.1834203399144327E-2</v>
      </c>
      <c r="I35" s="111"/>
      <c r="K35" s="119"/>
      <c r="M35" s="184"/>
      <c r="N35" s="12"/>
      <c r="O35" s="185"/>
      <c r="P35" s="186"/>
      <c r="Q35" s="185"/>
    </row>
    <row r="36" spans="1:17">
      <c r="A36" s="114"/>
      <c r="B36" s="13"/>
      <c r="C36" s="12"/>
      <c r="D36" s="585" t="s">
        <v>555</v>
      </c>
      <c r="E36" s="586">
        <f t="shared" si="0"/>
        <v>27175135.019999988</v>
      </c>
      <c r="F36" s="587">
        <f t="shared" si="2"/>
        <v>2.8783979048382105E-2</v>
      </c>
      <c r="G36" s="588">
        <f t="shared" si="1"/>
        <v>604</v>
      </c>
      <c r="H36" s="589">
        <f t="shared" si="3"/>
        <v>1.1853828943753189E-2</v>
      </c>
      <c r="I36" s="111"/>
      <c r="K36" s="119"/>
      <c r="M36" s="184"/>
      <c r="N36" s="12"/>
      <c r="O36" s="185"/>
      <c r="P36" s="186"/>
      <c r="Q36" s="185"/>
    </row>
    <row r="37" spans="1:17">
      <c r="A37" s="114"/>
      <c r="B37" s="13"/>
      <c r="C37" s="12"/>
      <c r="D37" s="585" t="s">
        <v>556</v>
      </c>
      <c r="E37" s="586">
        <f t="shared" si="0"/>
        <v>28177653.82000003</v>
      </c>
      <c r="F37" s="587">
        <f t="shared" si="2"/>
        <v>2.9845849766359143E-2</v>
      </c>
      <c r="G37" s="588">
        <f t="shared" si="1"/>
        <v>600</v>
      </c>
      <c r="H37" s="589">
        <f t="shared" si="3"/>
        <v>1.1775326765317737E-2</v>
      </c>
      <c r="I37" s="111"/>
      <c r="K37" s="119"/>
      <c r="M37" s="184"/>
      <c r="N37" s="12"/>
      <c r="O37" s="185"/>
      <c r="P37" s="186"/>
      <c r="Q37" s="185"/>
    </row>
    <row r="38" spans="1:17">
      <c r="A38" s="114"/>
      <c r="B38" s="13"/>
      <c r="C38" s="12"/>
      <c r="D38" s="585" t="s">
        <v>557</v>
      </c>
      <c r="E38" s="586">
        <f t="shared" si="0"/>
        <v>22378174.369999997</v>
      </c>
      <c r="F38" s="587">
        <f t="shared" si="2"/>
        <v>2.3703024906152666E-2</v>
      </c>
      <c r="G38" s="588">
        <f t="shared" si="1"/>
        <v>457</v>
      </c>
      <c r="H38" s="589">
        <f t="shared" si="3"/>
        <v>8.9688738862503427E-3</v>
      </c>
      <c r="I38" s="111"/>
      <c r="K38" s="119"/>
      <c r="M38" s="184"/>
      <c r="N38" s="12"/>
      <c r="O38" s="185"/>
      <c r="P38" s="186"/>
      <c r="Q38" s="185"/>
    </row>
    <row r="39" spans="1:17">
      <c r="A39" s="114"/>
      <c r="B39" s="13"/>
      <c r="C39" s="12"/>
      <c r="D39" s="585" t="s">
        <v>558</v>
      </c>
      <c r="E39" s="586">
        <f t="shared" si="0"/>
        <v>18983531.130000003</v>
      </c>
      <c r="F39" s="587">
        <f t="shared" si="2"/>
        <v>2.0107409288236528E-2</v>
      </c>
      <c r="G39" s="588">
        <f t="shared" si="1"/>
        <v>372</v>
      </c>
      <c r="H39" s="589">
        <f t="shared" si="3"/>
        <v>7.3007025944969977E-3</v>
      </c>
      <c r="I39" s="111"/>
      <c r="K39" s="119"/>
      <c r="M39" s="184"/>
      <c r="N39" s="12"/>
      <c r="O39" s="185"/>
      <c r="P39" s="186"/>
      <c r="Q39" s="185"/>
    </row>
    <row r="40" spans="1:17">
      <c r="A40" s="114"/>
      <c r="B40" s="13"/>
      <c r="C40" s="12"/>
      <c r="D40" s="585" t="s">
        <v>559</v>
      </c>
      <c r="E40" s="586">
        <f t="shared" si="0"/>
        <v>18476047.059999991</v>
      </c>
      <c r="F40" s="587">
        <f t="shared" si="2"/>
        <v>1.9569880741367583E-2</v>
      </c>
      <c r="G40" s="588">
        <f t="shared" si="1"/>
        <v>349</v>
      </c>
      <c r="H40" s="589">
        <f t="shared" si="3"/>
        <v>6.8493150684931503E-3</v>
      </c>
      <c r="I40" s="111"/>
      <c r="K40" s="119"/>
      <c r="M40" s="184"/>
      <c r="N40" s="12"/>
      <c r="O40" s="185"/>
      <c r="P40" s="186"/>
      <c r="Q40" s="185"/>
    </row>
    <row r="41" spans="1:17">
      <c r="A41" s="114"/>
      <c r="B41" s="13"/>
      <c r="C41" s="12"/>
      <c r="D41" s="585" t="s">
        <v>560</v>
      </c>
      <c r="E41" s="586">
        <f t="shared" si="0"/>
        <v>18702374.619999997</v>
      </c>
      <c r="F41" s="587">
        <f t="shared" si="2"/>
        <v>1.9809607526177192E-2</v>
      </c>
      <c r="G41" s="588">
        <f t="shared" si="1"/>
        <v>340</v>
      </c>
      <c r="H41" s="589">
        <f t="shared" si="3"/>
        <v>6.6726851670133843E-3</v>
      </c>
      <c r="I41" s="111"/>
      <c r="K41" s="119"/>
      <c r="M41" s="184"/>
      <c r="N41" s="12"/>
      <c r="O41" s="185"/>
      <c r="P41" s="186"/>
      <c r="Q41" s="185"/>
    </row>
    <row r="42" spans="1:17">
      <c r="A42" s="114"/>
      <c r="B42" s="13"/>
      <c r="C42" s="12"/>
      <c r="D42" s="585" t="s">
        <v>561</v>
      </c>
      <c r="E42" s="586">
        <f t="shared" si="0"/>
        <v>14127455.309999995</v>
      </c>
      <c r="F42" s="587">
        <f t="shared" si="2"/>
        <v>1.4963840192540634E-2</v>
      </c>
      <c r="G42" s="588">
        <f t="shared" si="1"/>
        <v>248</v>
      </c>
      <c r="H42" s="589">
        <f t="shared" si="3"/>
        <v>4.8671350629979982E-3</v>
      </c>
      <c r="I42" s="111"/>
      <c r="K42" s="119"/>
      <c r="M42" s="184"/>
      <c r="N42" s="12"/>
      <c r="O42" s="185"/>
      <c r="P42" s="186"/>
      <c r="Q42" s="185"/>
    </row>
    <row r="43" spans="1:17">
      <c r="A43" s="114"/>
      <c r="B43" s="13"/>
      <c r="C43" s="12"/>
      <c r="D43" s="585" t="s">
        <v>562</v>
      </c>
      <c r="E43" s="586">
        <f t="shared" si="0"/>
        <v>13808007.330000006</v>
      </c>
      <c r="F43" s="587">
        <f t="shared" si="2"/>
        <v>1.462547999831895E-2</v>
      </c>
      <c r="G43" s="588">
        <f t="shared" si="1"/>
        <v>234</v>
      </c>
      <c r="H43" s="589">
        <f t="shared" si="3"/>
        <v>4.5923774384739177E-3</v>
      </c>
      <c r="I43" s="111"/>
      <c r="K43" s="119"/>
      <c r="M43" s="184"/>
      <c r="N43" s="12"/>
      <c r="O43" s="185"/>
      <c r="P43" s="186"/>
      <c r="Q43" s="185"/>
    </row>
    <row r="44" spans="1:17">
      <c r="A44" s="114"/>
      <c r="B44" s="13"/>
      <c r="C44" s="12"/>
      <c r="D44" s="585" t="s">
        <v>563</v>
      </c>
      <c r="E44" s="586">
        <f t="shared" si="0"/>
        <v>10966355.940000003</v>
      </c>
      <c r="F44" s="587">
        <f t="shared" si="2"/>
        <v>1.1615594895177115E-2</v>
      </c>
      <c r="G44" s="588">
        <f t="shared" si="1"/>
        <v>180</v>
      </c>
      <c r="H44" s="589">
        <f t="shared" si="3"/>
        <v>3.5325980295953211E-3</v>
      </c>
      <c r="I44" s="111"/>
      <c r="K44" s="119"/>
      <c r="M44" s="184"/>
      <c r="N44" s="12"/>
      <c r="O44" s="185"/>
      <c r="P44" s="186"/>
      <c r="Q44" s="185"/>
    </row>
    <row r="45" spans="1:17">
      <c r="A45" s="114"/>
      <c r="B45" s="13"/>
      <c r="C45" s="12"/>
      <c r="D45" s="585" t="s">
        <v>564</v>
      </c>
      <c r="E45" s="586">
        <f t="shared" si="0"/>
        <v>13232895.439999992</v>
      </c>
      <c r="F45" s="587">
        <f t="shared" si="2"/>
        <v>1.4016319875285427E-2</v>
      </c>
      <c r="G45" s="588">
        <f t="shared" si="1"/>
        <v>210</v>
      </c>
      <c r="H45" s="589">
        <f t="shared" si="3"/>
        <v>4.1213643678612083E-3</v>
      </c>
      <c r="I45" s="111"/>
      <c r="K45" s="119"/>
      <c r="M45" s="184"/>
      <c r="N45" s="12"/>
      <c r="O45" s="185"/>
      <c r="P45" s="186"/>
      <c r="Q45" s="185"/>
    </row>
    <row r="46" spans="1:17">
      <c r="A46" s="114"/>
      <c r="B46" s="13"/>
      <c r="C46" s="12"/>
      <c r="D46" s="585" t="s">
        <v>565</v>
      </c>
      <c r="E46" s="586">
        <f t="shared" si="0"/>
        <v>11256318.210000001</v>
      </c>
      <c r="F46" s="587">
        <f t="shared" si="2"/>
        <v>1.1922723742866691E-2</v>
      </c>
      <c r="G46" s="588">
        <f t="shared" si="1"/>
        <v>173</v>
      </c>
      <c r="H46" s="589">
        <f t="shared" si="3"/>
        <v>3.3952192173332808E-3</v>
      </c>
      <c r="I46" s="111"/>
      <c r="K46" s="119"/>
      <c r="M46" s="184"/>
      <c r="N46" s="12"/>
      <c r="O46" s="185"/>
      <c r="P46" s="186"/>
      <c r="Q46" s="185"/>
    </row>
    <row r="47" spans="1:17">
      <c r="A47" s="114"/>
      <c r="B47" s="13"/>
      <c r="C47" s="12"/>
      <c r="D47" s="585" t="s">
        <v>566</v>
      </c>
      <c r="E47" s="586">
        <f t="shared" si="0"/>
        <v>12803770.810000008</v>
      </c>
      <c r="F47" s="587">
        <f t="shared" si="2"/>
        <v>1.3561789866511829E-2</v>
      </c>
      <c r="G47" s="588">
        <f t="shared" si="1"/>
        <v>191</v>
      </c>
      <c r="H47" s="589">
        <f t="shared" si="3"/>
        <v>3.7484790202928133E-3</v>
      </c>
      <c r="I47" s="111"/>
      <c r="K47" s="119"/>
      <c r="M47" s="184"/>
      <c r="N47" s="12"/>
      <c r="O47" s="185"/>
      <c r="P47" s="186"/>
      <c r="Q47" s="185"/>
    </row>
    <row r="48" spans="1:17">
      <c r="A48" s="114"/>
      <c r="B48" s="13"/>
      <c r="C48" s="12"/>
      <c r="D48" s="585" t="s">
        <v>567</v>
      </c>
      <c r="E48" s="586">
        <f t="shared" si="0"/>
        <v>12490575.879999999</v>
      </c>
      <c r="F48" s="587">
        <f t="shared" si="2"/>
        <v>1.3230052920345969E-2</v>
      </c>
      <c r="G48" s="588">
        <f t="shared" si="1"/>
        <v>181</v>
      </c>
      <c r="H48" s="589">
        <f t="shared" si="3"/>
        <v>3.552223574204184E-3</v>
      </c>
      <c r="I48" s="111"/>
      <c r="K48" s="119"/>
      <c r="M48" s="184"/>
      <c r="N48" s="12"/>
      <c r="O48" s="185"/>
      <c r="P48" s="186"/>
      <c r="Q48" s="185"/>
    </row>
    <row r="49" spans="1:17">
      <c r="A49" s="114"/>
      <c r="B49" s="13"/>
      <c r="C49" s="12"/>
      <c r="D49" s="585" t="s">
        <v>568</v>
      </c>
      <c r="E49" s="586">
        <f t="shared" si="0"/>
        <v>12409002.490000008</v>
      </c>
      <c r="F49" s="587">
        <f t="shared" si="2"/>
        <v>1.3143650157418122E-2</v>
      </c>
      <c r="G49" s="588">
        <f t="shared" si="1"/>
        <v>175</v>
      </c>
      <c r="H49" s="589">
        <f t="shared" si="3"/>
        <v>3.4344703065510066E-3</v>
      </c>
      <c r="I49" s="111"/>
      <c r="K49" s="119"/>
      <c r="M49" s="184"/>
      <c r="N49" s="12"/>
      <c r="O49" s="185"/>
      <c r="P49" s="186"/>
      <c r="Q49" s="185"/>
    </row>
    <row r="50" spans="1:17">
      <c r="A50" s="114"/>
      <c r="B50" s="13"/>
      <c r="C50" s="12"/>
      <c r="D50" s="585" t="s">
        <v>569</v>
      </c>
      <c r="E50" s="586">
        <f t="shared" si="0"/>
        <v>8828982.5099999979</v>
      </c>
      <c r="F50" s="587">
        <f t="shared" si="2"/>
        <v>9.3516829778155074E-3</v>
      </c>
      <c r="G50" s="588">
        <f t="shared" si="1"/>
        <v>121</v>
      </c>
      <c r="H50" s="589">
        <f t="shared" si="3"/>
        <v>2.3746908976724104E-3</v>
      </c>
      <c r="I50" s="111"/>
      <c r="K50" s="119"/>
      <c r="M50" s="184"/>
      <c r="N50" s="12"/>
      <c r="O50" s="185"/>
      <c r="P50" s="186"/>
      <c r="Q50" s="185"/>
    </row>
    <row r="51" spans="1:17">
      <c r="A51" s="114"/>
      <c r="B51" s="13"/>
      <c r="C51" s="12"/>
      <c r="D51" s="585" t="s">
        <v>570</v>
      </c>
      <c r="E51" s="586">
        <f t="shared" si="0"/>
        <v>8097627.7700000042</v>
      </c>
      <c r="F51" s="587">
        <f t="shared" si="2"/>
        <v>8.5770299908992809E-3</v>
      </c>
      <c r="G51" s="588">
        <f t="shared" si="1"/>
        <v>108</v>
      </c>
      <c r="H51" s="589">
        <f t="shared" si="3"/>
        <v>2.1195588177571928E-3</v>
      </c>
      <c r="I51" s="111"/>
      <c r="K51" s="119"/>
      <c r="M51" s="184"/>
      <c r="N51" s="12"/>
      <c r="O51" s="185"/>
      <c r="P51" s="186"/>
      <c r="Q51" s="185"/>
    </row>
    <row r="52" spans="1:17">
      <c r="A52" s="114"/>
      <c r="B52" s="13"/>
      <c r="C52" s="12"/>
      <c r="D52" s="585" t="s">
        <v>571</v>
      </c>
      <c r="E52" s="586">
        <f t="shared" si="0"/>
        <v>6460230.5899999989</v>
      </c>
      <c r="F52" s="587">
        <f t="shared" si="2"/>
        <v>6.8426943164559559E-3</v>
      </c>
      <c r="G52" s="588">
        <f t="shared" si="1"/>
        <v>84</v>
      </c>
      <c r="H52" s="589">
        <f t="shared" si="3"/>
        <v>1.6485457471444832E-3</v>
      </c>
      <c r="I52" s="111"/>
      <c r="K52" s="119"/>
      <c r="M52" s="184"/>
      <c r="N52" s="12"/>
      <c r="O52" s="185"/>
      <c r="P52" s="186"/>
      <c r="Q52" s="185"/>
    </row>
    <row r="53" spans="1:17">
      <c r="A53" s="114"/>
      <c r="B53" s="13"/>
      <c r="C53" s="12"/>
      <c r="D53" s="585" t="s">
        <v>572</v>
      </c>
      <c r="E53" s="586">
        <f t="shared" si="0"/>
        <v>6626414.7300000004</v>
      </c>
      <c r="F53" s="587">
        <f t="shared" si="2"/>
        <v>7.0187170225221073E-3</v>
      </c>
      <c r="G53" s="588">
        <f t="shared" si="1"/>
        <v>84</v>
      </c>
      <c r="H53" s="589">
        <f t="shared" si="3"/>
        <v>1.6485457471444832E-3</v>
      </c>
      <c r="I53" s="111"/>
      <c r="K53" s="119"/>
      <c r="M53" s="184"/>
      <c r="N53" s="12"/>
      <c r="O53" s="185"/>
      <c r="P53" s="186"/>
      <c r="Q53" s="185"/>
    </row>
    <row r="54" spans="1:17" ht="13" thickBot="1">
      <c r="A54" s="114"/>
      <c r="B54" s="13"/>
      <c r="C54" s="12"/>
      <c r="D54" s="585" t="s">
        <v>700</v>
      </c>
      <c r="E54" s="586">
        <f t="shared" si="0"/>
        <v>6544910.4399999985</v>
      </c>
      <c r="F54" s="587">
        <f t="shared" si="2"/>
        <v>6.9323874505075904E-3</v>
      </c>
      <c r="G54" s="588">
        <f t="shared" si="1"/>
        <v>79</v>
      </c>
      <c r="H54" s="589">
        <f t="shared" si="3"/>
        <v>1.5504180241001687E-3</v>
      </c>
      <c r="I54" s="111"/>
      <c r="K54" s="119"/>
      <c r="M54" s="184"/>
      <c r="N54" s="12"/>
      <c r="O54" s="185"/>
      <c r="P54" s="186"/>
      <c r="Q54" s="185"/>
    </row>
    <row r="55" spans="1:17" ht="14" thickTop="1" thickBot="1">
      <c r="A55" s="114"/>
      <c r="B55" s="187"/>
      <c r="C55" s="188"/>
      <c r="D55" s="521" t="s">
        <v>36</v>
      </c>
      <c r="E55" s="777">
        <f>SUM(E14:E54)</f>
        <v>944106267.38999987</v>
      </c>
      <c r="F55" s="783">
        <f t="shared" ref="F55:H55" si="4">SUM(F14:F54)</f>
        <v>1.0000000000000002</v>
      </c>
      <c r="G55" s="779">
        <f t="shared" si="4"/>
        <v>50954</v>
      </c>
      <c r="H55" s="820">
        <f t="shared" si="4"/>
        <v>0.99999999999999978</v>
      </c>
      <c r="I55" s="111"/>
      <c r="K55" s="119"/>
      <c r="M55" s="522"/>
      <c r="N55" s="523"/>
      <c r="O55" s="524"/>
      <c r="P55" s="525"/>
      <c r="Q55" s="524"/>
    </row>
    <row r="56" spans="1:17" ht="13">
      <c r="A56" s="114"/>
      <c r="B56" s="187"/>
      <c r="C56" s="188"/>
      <c r="D56" s="522"/>
      <c r="E56" s="523"/>
      <c r="F56" s="530"/>
      <c r="G56" s="525"/>
      <c r="H56" s="524"/>
      <c r="I56" s="111"/>
      <c r="K56" s="119"/>
      <c r="M56" s="522"/>
      <c r="N56" s="523"/>
      <c r="O56" s="524"/>
      <c r="P56" s="525"/>
      <c r="Q56" s="524"/>
    </row>
    <row r="57" spans="1:17" ht="13">
      <c r="A57" s="114"/>
      <c r="B57" s="187"/>
      <c r="C57" s="188"/>
      <c r="D57" s="522"/>
      <c r="E57" s="523"/>
      <c r="F57" s="530"/>
      <c r="G57" s="525"/>
      <c r="H57" s="524"/>
      <c r="I57" s="111"/>
      <c r="K57" s="119"/>
      <c r="M57" s="522"/>
      <c r="N57" s="523"/>
      <c r="O57" s="524"/>
      <c r="P57" s="525"/>
      <c r="Q57" s="524"/>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48" t="s">
        <v>61</v>
      </c>
      <c r="E59" s="768">
        <f>E55/G55</f>
        <v>18528.599666169484</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4"/>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166</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167</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25" customHeight="1" thickBot="1">
      <c r="A13" s="114"/>
      <c r="B13" s="433"/>
      <c r="E13" s="420" t="s">
        <v>63</v>
      </c>
      <c r="F13" s="573" t="s">
        <v>72</v>
      </c>
      <c r="G13" s="421" t="s">
        <v>114</v>
      </c>
      <c r="H13" s="422" t="s">
        <v>62</v>
      </c>
      <c r="I13" s="111"/>
      <c r="K13" s="119"/>
      <c r="M13" s="574"/>
      <c r="N13" s="202"/>
      <c r="O13" s="202"/>
      <c r="P13" s="202"/>
      <c r="Q13" s="202"/>
    </row>
    <row r="14" spans="1:17">
      <c r="A14" s="114"/>
      <c r="B14" s="168"/>
      <c r="C14" s="168"/>
      <c r="E14" s="575">
        <v>1</v>
      </c>
      <c r="F14" s="569">
        <f t="shared" ref="F14:F38" si="0">VLOOKUP(CONCATENATE("Borrower_",E14),Assets_Daten,3,0)</f>
        <v>91594.46</v>
      </c>
      <c r="G14" s="576">
        <f t="shared" ref="G14:G38" si="1">F14/VLOOKUP("Outstanding_eop_current",calcdata,2,0)</f>
        <v>9.7017108310502653E-5</v>
      </c>
      <c r="H14" s="577">
        <f t="shared" ref="H14:H38" si="2">VLOOKUP(CONCATENATE("Borrower_",E14),Assets_Daten,2,0)</f>
        <v>1</v>
      </c>
      <c r="I14" s="111"/>
      <c r="K14" s="119"/>
      <c r="N14" s="427"/>
      <c r="O14" s="428"/>
      <c r="P14" s="324"/>
    </row>
    <row r="15" spans="1:17">
      <c r="A15" s="114"/>
      <c r="B15" s="13"/>
      <c r="C15" s="12"/>
      <c r="E15" s="575">
        <f>+E14+1</f>
        <v>2</v>
      </c>
      <c r="F15" s="569">
        <f t="shared" si="0"/>
        <v>90529.19</v>
      </c>
      <c r="G15" s="576">
        <f t="shared" si="1"/>
        <v>9.5888771345909712E-5</v>
      </c>
      <c r="H15" s="577">
        <f t="shared" si="2"/>
        <v>1</v>
      </c>
      <c r="I15" s="111"/>
      <c r="K15" s="119"/>
      <c r="N15" s="427"/>
      <c r="O15" s="428"/>
      <c r="P15" s="324"/>
    </row>
    <row r="16" spans="1:17">
      <c r="A16" s="114"/>
      <c r="B16" s="13"/>
      <c r="C16" s="12"/>
      <c r="E16" s="575">
        <f t="shared" ref="E16:E38" si="3">+E15+1</f>
        <v>3</v>
      </c>
      <c r="F16" s="569">
        <f t="shared" si="0"/>
        <v>89838.6</v>
      </c>
      <c r="G16" s="576">
        <f t="shared" si="1"/>
        <v>9.5157296485659981E-5</v>
      </c>
      <c r="H16" s="577">
        <f t="shared" si="2"/>
        <v>1</v>
      </c>
      <c r="I16" s="111"/>
      <c r="K16" s="119"/>
      <c r="N16" s="427"/>
      <c r="O16" s="428"/>
      <c r="P16" s="324"/>
    </row>
    <row r="17" spans="1:16">
      <c r="A17" s="114"/>
      <c r="B17" s="13"/>
      <c r="C17" s="12"/>
      <c r="E17" s="575">
        <f t="shared" si="3"/>
        <v>4</v>
      </c>
      <c r="F17" s="569">
        <f t="shared" si="0"/>
        <v>89009.75</v>
      </c>
      <c r="G17" s="576">
        <f t="shared" si="1"/>
        <v>9.4279376246562982E-5</v>
      </c>
      <c r="H17" s="577">
        <f t="shared" si="2"/>
        <v>1</v>
      </c>
      <c r="I17" s="111"/>
      <c r="K17" s="119"/>
      <c r="N17" s="427"/>
      <c r="O17" s="428"/>
      <c r="P17" s="324"/>
    </row>
    <row r="18" spans="1:16">
      <c r="A18" s="114"/>
      <c r="B18" s="13"/>
      <c r="C18" s="12"/>
      <c r="E18" s="575">
        <f t="shared" si="3"/>
        <v>5</v>
      </c>
      <c r="F18" s="569">
        <f t="shared" si="0"/>
        <v>87789.58</v>
      </c>
      <c r="G18" s="576">
        <f t="shared" si="1"/>
        <v>9.2986968768564576E-5</v>
      </c>
      <c r="H18" s="577">
        <f t="shared" si="2"/>
        <v>1</v>
      </c>
      <c r="I18" s="111"/>
      <c r="K18" s="119"/>
      <c r="N18" s="427"/>
      <c r="O18" s="428"/>
      <c r="P18" s="324"/>
    </row>
    <row r="19" spans="1:16">
      <c r="A19" s="114"/>
      <c r="B19" s="13"/>
      <c r="C19" s="12"/>
      <c r="E19" s="575">
        <f t="shared" si="3"/>
        <v>6</v>
      </c>
      <c r="F19" s="569">
        <f t="shared" si="0"/>
        <v>87031.48</v>
      </c>
      <c r="G19" s="576">
        <f t="shared" si="1"/>
        <v>9.2183987127423918E-5</v>
      </c>
      <c r="H19" s="577">
        <f t="shared" si="2"/>
        <v>1</v>
      </c>
      <c r="I19" s="111"/>
      <c r="K19" s="119"/>
      <c r="N19" s="427"/>
      <c r="O19" s="428"/>
      <c r="P19" s="324"/>
    </row>
    <row r="20" spans="1:16">
      <c r="A20" s="114"/>
      <c r="B20" s="13"/>
      <c r="C20" s="12"/>
      <c r="E20" s="575">
        <f t="shared" si="3"/>
        <v>7</v>
      </c>
      <c r="F20" s="569">
        <f t="shared" si="0"/>
        <v>86730.84</v>
      </c>
      <c r="G20" s="576">
        <f t="shared" si="1"/>
        <v>9.1865548398242374E-5</v>
      </c>
      <c r="H20" s="577">
        <f t="shared" si="2"/>
        <v>1</v>
      </c>
      <c r="I20" s="111"/>
      <c r="K20" s="119"/>
      <c r="N20" s="427"/>
      <c r="O20" s="428"/>
      <c r="P20" s="324"/>
    </row>
    <row r="21" spans="1:16">
      <c r="A21" s="114"/>
      <c r="B21" s="13"/>
      <c r="C21" s="12"/>
      <c r="E21" s="575">
        <f t="shared" si="3"/>
        <v>8</v>
      </c>
      <c r="F21" s="569">
        <f t="shared" si="0"/>
        <v>86437.79</v>
      </c>
      <c r="G21" s="576">
        <f t="shared" si="1"/>
        <v>9.1555149018297417E-5</v>
      </c>
      <c r="H21" s="577">
        <f t="shared" si="2"/>
        <v>1</v>
      </c>
      <c r="I21" s="111"/>
      <c r="K21" s="119"/>
      <c r="N21" s="427"/>
      <c r="O21" s="428"/>
      <c r="P21" s="324"/>
    </row>
    <row r="22" spans="1:16">
      <c r="A22" s="114"/>
      <c r="B22" s="13"/>
      <c r="C22" s="12"/>
      <c r="E22" s="575">
        <f t="shared" si="3"/>
        <v>9</v>
      </c>
      <c r="F22" s="569">
        <f t="shared" si="0"/>
        <v>86225.53</v>
      </c>
      <c r="G22" s="576">
        <f t="shared" si="1"/>
        <v>9.1330322632400418E-5</v>
      </c>
      <c r="H22" s="577">
        <f t="shared" si="2"/>
        <v>1</v>
      </c>
      <c r="I22" s="111"/>
      <c r="K22" s="119"/>
      <c r="N22" s="427"/>
      <c r="O22" s="428"/>
      <c r="P22" s="324"/>
    </row>
    <row r="23" spans="1:16">
      <c r="A23" s="114"/>
      <c r="B23" s="13"/>
      <c r="C23" s="12"/>
      <c r="E23" s="575">
        <f t="shared" si="3"/>
        <v>10</v>
      </c>
      <c r="F23" s="569">
        <f t="shared" si="0"/>
        <v>86168.4</v>
      </c>
      <c r="G23" s="576">
        <f t="shared" si="1"/>
        <v>9.1269810376552426E-5</v>
      </c>
      <c r="H23" s="577">
        <f t="shared" si="2"/>
        <v>2</v>
      </c>
      <c r="I23" s="111"/>
      <c r="K23" s="119"/>
      <c r="N23" s="427"/>
      <c r="O23" s="428"/>
      <c r="P23" s="324"/>
    </row>
    <row r="24" spans="1:16">
      <c r="A24" s="114"/>
      <c r="B24" s="13"/>
      <c r="C24" s="12"/>
      <c r="E24" s="575">
        <f t="shared" si="3"/>
        <v>11</v>
      </c>
      <c r="F24" s="569">
        <f t="shared" si="0"/>
        <v>85966.92</v>
      </c>
      <c r="G24" s="576">
        <f t="shared" si="1"/>
        <v>9.1056402196817534E-5</v>
      </c>
      <c r="H24" s="577">
        <f t="shared" si="2"/>
        <v>1</v>
      </c>
      <c r="I24" s="111"/>
      <c r="K24" s="119"/>
      <c r="N24" s="427"/>
      <c r="O24" s="428"/>
      <c r="P24" s="324"/>
    </row>
    <row r="25" spans="1:16">
      <c r="A25" s="114"/>
      <c r="B25" s="13"/>
      <c r="C25" s="12"/>
      <c r="E25" s="575">
        <f t="shared" si="3"/>
        <v>12</v>
      </c>
      <c r="F25" s="569">
        <f t="shared" si="0"/>
        <v>85470.94</v>
      </c>
      <c r="G25" s="576">
        <f t="shared" si="1"/>
        <v>9.0531058793080638E-5</v>
      </c>
      <c r="H25" s="577">
        <f t="shared" si="2"/>
        <v>1</v>
      </c>
      <c r="I25" s="111"/>
      <c r="K25" s="119"/>
      <c r="N25" s="427"/>
      <c r="O25" s="428"/>
      <c r="P25" s="324"/>
    </row>
    <row r="26" spans="1:16">
      <c r="A26" s="114"/>
      <c r="B26" s="13"/>
      <c r="C26" s="12"/>
      <c r="E26" s="575">
        <f t="shared" si="3"/>
        <v>13</v>
      </c>
      <c r="F26" s="569">
        <f t="shared" si="0"/>
        <v>85311.23</v>
      </c>
      <c r="G26" s="576">
        <f t="shared" si="1"/>
        <v>9.0361893514216932E-5</v>
      </c>
      <c r="H26" s="577">
        <f t="shared" si="2"/>
        <v>1</v>
      </c>
      <c r="I26" s="111"/>
      <c r="K26" s="119"/>
      <c r="N26" s="427"/>
      <c r="O26" s="428"/>
      <c r="P26" s="324"/>
    </row>
    <row r="27" spans="1:16">
      <c r="A27" s="114"/>
      <c r="B27" s="13"/>
      <c r="C27" s="12"/>
      <c r="E27" s="575">
        <f t="shared" si="3"/>
        <v>14</v>
      </c>
      <c r="F27" s="569">
        <f t="shared" si="0"/>
        <v>85027.1</v>
      </c>
      <c r="G27" s="576">
        <f t="shared" si="1"/>
        <v>9.0060942223229874E-5</v>
      </c>
      <c r="H27" s="577">
        <f t="shared" si="2"/>
        <v>1</v>
      </c>
      <c r="I27" s="111"/>
      <c r="K27" s="119"/>
      <c r="N27" s="427"/>
      <c r="O27" s="428"/>
      <c r="P27" s="324"/>
    </row>
    <row r="28" spans="1:16">
      <c r="A28" s="114"/>
      <c r="B28" s="13"/>
      <c r="C28" s="12"/>
      <c r="E28" s="575">
        <f t="shared" si="3"/>
        <v>15</v>
      </c>
      <c r="F28" s="569">
        <f t="shared" si="0"/>
        <v>84846.9</v>
      </c>
      <c r="G28" s="576">
        <f t="shared" si="1"/>
        <v>8.9870073879035761E-5</v>
      </c>
      <c r="H28" s="577">
        <f t="shared" si="2"/>
        <v>1</v>
      </c>
      <c r="I28" s="111"/>
      <c r="K28" s="119"/>
      <c r="N28" s="427"/>
      <c r="O28" s="428"/>
      <c r="P28" s="324"/>
    </row>
    <row r="29" spans="1:16">
      <c r="A29" s="114"/>
      <c r="B29" s="13"/>
      <c r="C29" s="12"/>
      <c r="E29" s="575">
        <f t="shared" si="3"/>
        <v>16</v>
      </c>
      <c r="F29" s="569">
        <f t="shared" si="0"/>
        <v>84366.31</v>
      </c>
      <c r="G29" s="576">
        <f t="shared" si="1"/>
        <v>8.936103160635962E-5</v>
      </c>
      <c r="H29" s="577">
        <f t="shared" si="2"/>
        <v>1</v>
      </c>
      <c r="I29" s="111"/>
      <c r="K29" s="119"/>
      <c r="N29" s="427"/>
      <c r="O29" s="428"/>
      <c r="P29" s="324"/>
    </row>
    <row r="30" spans="1:16">
      <c r="A30" s="114"/>
      <c r="B30" s="13"/>
      <c r="C30" s="12"/>
      <c r="E30" s="575">
        <f t="shared" si="3"/>
        <v>17</v>
      </c>
      <c r="F30" s="569">
        <f t="shared" si="0"/>
        <v>84259.08</v>
      </c>
      <c r="G30" s="576">
        <f t="shared" si="1"/>
        <v>8.9247453290333364E-5</v>
      </c>
      <c r="H30" s="577">
        <f t="shared" si="2"/>
        <v>1</v>
      </c>
      <c r="I30" s="111"/>
      <c r="J30" s="111"/>
      <c r="K30" s="119"/>
      <c r="N30" s="427"/>
      <c r="O30" s="428"/>
      <c r="P30" s="324"/>
    </row>
    <row r="31" spans="1:16">
      <c r="A31" s="114"/>
      <c r="B31" s="13"/>
      <c r="C31" s="12"/>
      <c r="E31" s="575">
        <f t="shared" si="3"/>
        <v>18</v>
      </c>
      <c r="F31" s="569">
        <f t="shared" si="0"/>
        <v>84238.81</v>
      </c>
      <c r="G31" s="576">
        <f t="shared" si="1"/>
        <v>8.9225983249618512E-5</v>
      </c>
      <c r="H31" s="577">
        <f t="shared" si="2"/>
        <v>1</v>
      </c>
      <c r="I31" s="111"/>
      <c r="J31" s="111"/>
      <c r="K31" s="119"/>
      <c r="N31" s="427"/>
      <c r="O31" s="428"/>
      <c r="P31" s="324"/>
    </row>
    <row r="32" spans="1:16">
      <c r="A32" s="114"/>
      <c r="B32" s="13"/>
      <c r="C32" s="12"/>
      <c r="E32" s="575">
        <f t="shared" si="3"/>
        <v>19</v>
      </c>
      <c r="F32" s="569">
        <f t="shared" si="0"/>
        <v>84026.8</v>
      </c>
      <c r="G32" s="576">
        <f t="shared" si="1"/>
        <v>8.9001421664421015E-5</v>
      </c>
      <c r="H32" s="577">
        <f t="shared" si="2"/>
        <v>1</v>
      </c>
      <c r="I32" s="111"/>
      <c r="J32" s="111"/>
      <c r="K32" s="119"/>
      <c r="N32" s="427"/>
      <c r="O32" s="428"/>
      <c r="P32" s="324"/>
    </row>
    <row r="33" spans="1:17">
      <c r="A33" s="114"/>
      <c r="B33" s="13"/>
      <c r="C33" s="12"/>
      <c r="E33" s="575">
        <f t="shared" si="3"/>
        <v>20</v>
      </c>
      <c r="F33" s="569">
        <f t="shared" si="0"/>
        <v>84021.65</v>
      </c>
      <c r="G33" s="576">
        <f t="shared" si="1"/>
        <v>8.8995966770011455E-5</v>
      </c>
      <c r="H33" s="577">
        <f t="shared" si="2"/>
        <v>1</v>
      </c>
      <c r="I33" s="111"/>
      <c r="J33" s="111"/>
      <c r="K33" s="119"/>
      <c r="N33" s="427"/>
      <c r="O33" s="428"/>
      <c r="P33" s="324"/>
    </row>
    <row r="34" spans="1:17">
      <c r="A34" s="114"/>
      <c r="B34" s="13"/>
      <c r="C34" s="12"/>
      <c r="E34" s="575">
        <f t="shared" si="3"/>
        <v>21</v>
      </c>
      <c r="F34" s="569">
        <f t="shared" si="0"/>
        <v>83906.85</v>
      </c>
      <c r="G34" s="576">
        <f t="shared" si="1"/>
        <v>8.8874370288804573E-5</v>
      </c>
      <c r="H34" s="577">
        <f t="shared" si="2"/>
        <v>1</v>
      </c>
      <c r="I34" s="111"/>
      <c r="J34" s="111"/>
      <c r="K34" s="119"/>
      <c r="N34" s="427"/>
      <c r="O34" s="428"/>
      <c r="P34" s="324"/>
    </row>
    <row r="35" spans="1:17">
      <c r="A35" s="114"/>
      <c r="B35" s="13"/>
      <c r="C35" s="12"/>
      <c r="E35" s="575">
        <f t="shared" si="3"/>
        <v>22</v>
      </c>
      <c r="F35" s="569">
        <f t="shared" si="0"/>
        <v>83863.649999999994</v>
      </c>
      <c r="G35" s="576">
        <f t="shared" si="1"/>
        <v>8.8828612727932286E-5</v>
      </c>
      <c r="H35" s="577">
        <f t="shared" si="2"/>
        <v>1</v>
      </c>
      <c r="I35" s="111"/>
      <c r="J35" s="111"/>
      <c r="K35" s="119"/>
      <c r="N35" s="427"/>
      <c r="O35" s="428"/>
      <c r="P35" s="324"/>
    </row>
    <row r="36" spans="1:17">
      <c r="A36" s="114"/>
      <c r="B36" s="13"/>
      <c r="C36" s="12"/>
      <c r="E36" s="575">
        <f t="shared" si="3"/>
        <v>23</v>
      </c>
      <c r="F36" s="569">
        <f t="shared" si="0"/>
        <v>83793.2</v>
      </c>
      <c r="G36" s="576">
        <f t="shared" si="1"/>
        <v>8.8753991890815341E-5</v>
      </c>
      <c r="H36" s="577">
        <f t="shared" si="2"/>
        <v>1</v>
      </c>
      <c r="I36" s="111"/>
      <c r="J36" s="111"/>
      <c r="K36" s="119"/>
      <c r="N36" s="427"/>
      <c r="O36" s="428"/>
      <c r="P36" s="324"/>
    </row>
    <row r="37" spans="1:17">
      <c r="A37" s="114"/>
      <c r="B37" s="13"/>
      <c r="C37" s="12"/>
      <c r="E37" s="575">
        <f t="shared" si="3"/>
        <v>24</v>
      </c>
      <c r="F37" s="569">
        <f t="shared" si="0"/>
        <v>83721.67</v>
      </c>
      <c r="G37" s="576">
        <f t="shared" si="1"/>
        <v>8.8678227114676587E-5</v>
      </c>
      <c r="H37" s="577">
        <f t="shared" si="2"/>
        <v>1</v>
      </c>
      <c r="I37" s="111"/>
      <c r="J37" s="111"/>
      <c r="K37" s="119"/>
      <c r="N37" s="427"/>
      <c r="O37" s="428"/>
      <c r="P37" s="324"/>
    </row>
    <row r="38" spans="1:17" ht="13" thickBot="1">
      <c r="A38" s="114"/>
      <c r="B38" s="13"/>
      <c r="C38" s="12"/>
      <c r="E38" s="578">
        <f t="shared" si="3"/>
        <v>25</v>
      </c>
      <c r="F38" s="579">
        <f t="shared" si="0"/>
        <v>83720.97</v>
      </c>
      <c r="G38" s="580">
        <f t="shared" si="1"/>
        <v>8.8677485672718003E-5</v>
      </c>
      <c r="H38" s="581">
        <f t="shared" si="2"/>
        <v>1</v>
      </c>
      <c r="I38" s="111"/>
      <c r="J38" s="111"/>
      <c r="K38" s="119"/>
      <c r="N38" s="427"/>
      <c r="O38" s="428"/>
      <c r="P38" s="324"/>
    </row>
    <row r="39" spans="1:17" ht="14" thickTop="1" thickBot="1">
      <c r="A39" s="114"/>
      <c r="B39" s="13"/>
      <c r="C39" s="12"/>
      <c r="E39" s="582"/>
      <c r="F39" s="808">
        <f>SUM(F14:F38)</f>
        <v>2147897.7000000002</v>
      </c>
      <c r="G39" s="809">
        <f>SUM(G14:G38)</f>
        <v>2.2750592535921879E-3</v>
      </c>
      <c r="H39" s="810">
        <f>SUM(H14:H38)</f>
        <v>26</v>
      </c>
      <c r="I39" s="111"/>
      <c r="J39" s="111"/>
      <c r="K39" s="119"/>
      <c r="O39" s="431"/>
      <c r="P39" s="583"/>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143</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row>
    <row r="13" spans="1:17" ht="29.5" thickBot="1">
      <c r="A13" s="114"/>
      <c r="B13" s="168"/>
      <c r="C13" s="168"/>
      <c r="D13" s="566" t="s">
        <v>64</v>
      </c>
      <c r="E13" s="567" t="s">
        <v>72</v>
      </c>
      <c r="F13" s="421" t="s">
        <v>114</v>
      </c>
      <c r="G13" s="421" t="s">
        <v>62</v>
      </c>
      <c r="H13" s="568" t="s">
        <v>115</v>
      </c>
      <c r="I13" s="111"/>
      <c r="K13" s="119"/>
    </row>
    <row r="14" spans="1:17">
      <c r="A14" s="114"/>
      <c r="B14" s="13"/>
      <c r="C14" s="12"/>
      <c r="D14" s="791" t="s">
        <v>704</v>
      </c>
      <c r="E14" s="569">
        <f t="shared" ref="E14:E30" si="0">VLOOKUP(CONCATENATE("geo_",D14),Assets_Daten,3,0)</f>
        <v>126849749.34000008</v>
      </c>
      <c r="F14" s="570">
        <f>E14/$E$31</f>
        <v>0.13435960942265396</v>
      </c>
      <c r="G14" s="571">
        <f t="shared" ref="G14:G30" si="1">VLOOKUP(CONCATENATE("geo_",D14),Assets_Daten,2,0)</f>
        <v>6369</v>
      </c>
      <c r="H14" s="572">
        <f>G14/$G$31</f>
        <v>0.12499509361384778</v>
      </c>
      <c r="I14" s="111"/>
      <c r="K14" s="119"/>
    </row>
    <row r="15" spans="1:17">
      <c r="A15" s="114"/>
      <c r="B15" s="13"/>
      <c r="C15" s="12"/>
      <c r="D15" s="791" t="s">
        <v>705</v>
      </c>
      <c r="E15" s="569">
        <f t="shared" si="0"/>
        <v>121003118.29999989</v>
      </c>
      <c r="F15" s="570">
        <f t="shared" ref="F15:F30" si="2">E15/$E$31</f>
        <v>0.12816684146639062</v>
      </c>
      <c r="G15" s="571">
        <f t="shared" si="1"/>
        <v>6458</v>
      </c>
      <c r="H15" s="572">
        <f t="shared" ref="H15:H30" si="3">G15/$G$31</f>
        <v>0.12674176708403659</v>
      </c>
      <c r="I15" s="111"/>
      <c r="K15" s="119"/>
    </row>
    <row r="16" spans="1:17">
      <c r="A16" s="114"/>
      <c r="B16" s="13"/>
      <c r="C16" s="12"/>
      <c r="D16" s="791" t="s">
        <v>706</v>
      </c>
      <c r="E16" s="569">
        <f t="shared" si="0"/>
        <v>39036388.730000004</v>
      </c>
      <c r="F16" s="570">
        <f t="shared" si="2"/>
        <v>4.1347452165439877E-2</v>
      </c>
      <c r="G16" s="571">
        <f t="shared" si="1"/>
        <v>2044</v>
      </c>
      <c r="H16" s="572">
        <f t="shared" si="3"/>
        <v>4.0114613180515762E-2</v>
      </c>
      <c r="I16" s="111"/>
      <c r="K16" s="119"/>
    </row>
    <row r="17" spans="1:16">
      <c r="A17" s="114"/>
      <c r="B17" s="13"/>
      <c r="C17" s="12"/>
      <c r="D17" s="791" t="s">
        <v>707</v>
      </c>
      <c r="E17" s="569">
        <f t="shared" si="0"/>
        <v>36506410.06000004</v>
      </c>
      <c r="F17" s="570">
        <f t="shared" si="2"/>
        <v>3.866769167937284E-2</v>
      </c>
      <c r="G17" s="571">
        <f t="shared" si="1"/>
        <v>2109</v>
      </c>
      <c r="H17" s="572">
        <f t="shared" si="3"/>
        <v>4.1390273580091848E-2</v>
      </c>
      <c r="I17" s="111"/>
      <c r="K17" s="119"/>
    </row>
    <row r="18" spans="1:16">
      <c r="A18" s="114"/>
      <c r="B18" s="13"/>
      <c r="C18" s="12"/>
      <c r="D18" s="791" t="s">
        <v>708</v>
      </c>
      <c r="E18" s="569">
        <f t="shared" si="0"/>
        <v>8373769.8199999947</v>
      </c>
      <c r="F18" s="570">
        <f t="shared" si="2"/>
        <v>8.8695204228962966E-3</v>
      </c>
      <c r="G18" s="571">
        <f t="shared" si="1"/>
        <v>467</v>
      </c>
      <c r="H18" s="572">
        <f t="shared" si="3"/>
        <v>9.1651293323389716E-3</v>
      </c>
      <c r="I18" s="111"/>
      <c r="K18" s="119"/>
    </row>
    <row r="19" spans="1:16">
      <c r="A19" s="114"/>
      <c r="B19" s="13"/>
      <c r="C19" s="12"/>
      <c r="D19" s="791" t="s">
        <v>709</v>
      </c>
      <c r="E19" s="569">
        <f t="shared" si="0"/>
        <v>17602316.539999999</v>
      </c>
      <c r="F19" s="570">
        <f t="shared" si="2"/>
        <v>1.8644422929912273E-2</v>
      </c>
      <c r="G19" s="571">
        <f t="shared" si="1"/>
        <v>1003</v>
      </c>
      <c r="H19" s="572">
        <f t="shared" si="3"/>
        <v>1.9684421242689484E-2</v>
      </c>
      <c r="I19" s="111"/>
      <c r="K19" s="119"/>
    </row>
    <row r="20" spans="1:16">
      <c r="A20" s="114"/>
      <c r="B20" s="13"/>
      <c r="C20" s="12"/>
      <c r="D20" s="791" t="s">
        <v>710</v>
      </c>
      <c r="E20" s="569">
        <f t="shared" si="0"/>
        <v>70696416.519999996</v>
      </c>
      <c r="F20" s="570">
        <f t="shared" si="2"/>
        <v>7.4881842184399028E-2</v>
      </c>
      <c r="G20" s="571">
        <f t="shared" si="1"/>
        <v>3607</v>
      </c>
      <c r="H20" s="572">
        <f t="shared" si="3"/>
        <v>7.0789339404168469E-2</v>
      </c>
      <c r="I20" s="111"/>
      <c r="K20" s="119"/>
    </row>
    <row r="21" spans="1:16">
      <c r="A21" s="114"/>
      <c r="B21" s="13"/>
      <c r="C21" s="12"/>
      <c r="D21" s="791" t="s">
        <v>711</v>
      </c>
      <c r="E21" s="569">
        <f t="shared" si="0"/>
        <v>99247045.079999909</v>
      </c>
      <c r="F21" s="570">
        <f t="shared" si="2"/>
        <v>0.10512274783893799</v>
      </c>
      <c r="G21" s="571">
        <f t="shared" si="1"/>
        <v>5532</v>
      </c>
      <c r="H21" s="572">
        <f t="shared" si="3"/>
        <v>0.10856851277622954</v>
      </c>
      <c r="I21" s="111"/>
      <c r="K21" s="119"/>
    </row>
    <row r="22" spans="1:16">
      <c r="A22" s="114"/>
      <c r="B22" s="13"/>
      <c r="C22" s="12"/>
      <c r="D22" s="791" t="s">
        <v>712</v>
      </c>
      <c r="E22" s="569">
        <f t="shared" si="0"/>
        <v>26649937.259999976</v>
      </c>
      <c r="F22" s="570">
        <f t="shared" si="2"/>
        <v>2.8227688111502797E-2</v>
      </c>
      <c r="G22" s="571">
        <f t="shared" si="1"/>
        <v>1492</v>
      </c>
      <c r="H22" s="572">
        <f t="shared" si="3"/>
        <v>2.9281312556423442E-2</v>
      </c>
      <c r="I22" s="111"/>
      <c r="K22" s="119"/>
    </row>
    <row r="23" spans="1:16">
      <c r="A23" s="114"/>
      <c r="B23" s="13"/>
      <c r="C23" s="12"/>
      <c r="D23" s="791" t="s">
        <v>713</v>
      </c>
      <c r="E23" s="569">
        <f t="shared" si="0"/>
        <v>205899907.32999986</v>
      </c>
      <c r="F23" s="570">
        <f t="shared" si="2"/>
        <v>0.21808975794559038</v>
      </c>
      <c r="G23" s="571">
        <f t="shared" si="1"/>
        <v>10868</v>
      </c>
      <c r="H23" s="572">
        <f t="shared" si="3"/>
        <v>0.21329041880912195</v>
      </c>
      <c r="I23" s="111"/>
      <c r="K23" s="119"/>
    </row>
    <row r="24" spans="1:16" ht="12.75" customHeight="1">
      <c r="A24" s="114"/>
      <c r="B24" s="13"/>
      <c r="C24" s="12"/>
      <c r="D24" s="791" t="s">
        <v>714</v>
      </c>
      <c r="E24" s="569">
        <f t="shared" si="0"/>
        <v>51914546.6300001</v>
      </c>
      <c r="F24" s="570">
        <f t="shared" si="2"/>
        <v>5.4988033045812609E-2</v>
      </c>
      <c r="G24" s="571">
        <f t="shared" si="1"/>
        <v>2777</v>
      </c>
      <c r="H24" s="572">
        <f t="shared" si="3"/>
        <v>5.4500137378812263E-2</v>
      </c>
      <c r="I24" s="111"/>
      <c r="K24" s="119"/>
    </row>
    <row r="25" spans="1:16">
      <c r="A25" s="114"/>
      <c r="B25" s="13"/>
      <c r="C25" s="12"/>
      <c r="D25" s="791" t="s">
        <v>715</v>
      </c>
      <c r="E25" s="569">
        <f t="shared" si="0"/>
        <v>14535086.42</v>
      </c>
      <c r="F25" s="570">
        <f t="shared" si="2"/>
        <v>1.5395604204792041E-2</v>
      </c>
      <c r="G25" s="571">
        <f t="shared" si="1"/>
        <v>815</v>
      </c>
      <c r="H25" s="572">
        <f t="shared" si="3"/>
        <v>1.599481885622326E-2</v>
      </c>
      <c r="I25" s="111"/>
      <c r="K25" s="119"/>
    </row>
    <row r="26" spans="1:16">
      <c r="A26" s="114"/>
      <c r="B26" s="13"/>
      <c r="C26" s="12"/>
      <c r="D26" s="791" t="s">
        <v>761</v>
      </c>
      <c r="E26" s="569">
        <f>VLOOKUP(CONCATENATE("geo_",D26),Assets_Daten,3,0)</f>
        <v>38148858.900000006</v>
      </c>
      <c r="F26" s="570">
        <f t="shared" si="2"/>
        <v>4.0407378086222509E-2</v>
      </c>
      <c r="G26" s="571">
        <f t="shared" si="1"/>
        <v>2281</v>
      </c>
      <c r="H26" s="572">
        <f t="shared" si="3"/>
        <v>4.4765867252816269E-2</v>
      </c>
      <c r="I26" s="111"/>
      <c r="K26" s="119"/>
    </row>
    <row r="27" spans="1:16">
      <c r="A27" s="114"/>
      <c r="B27" s="13"/>
      <c r="C27" s="12"/>
      <c r="D27" s="791" t="s">
        <v>716</v>
      </c>
      <c r="E27" s="569">
        <f t="shared" si="0"/>
        <v>30510903.760000028</v>
      </c>
      <c r="F27" s="570">
        <f t="shared" si="2"/>
        <v>3.2317234631169242E-2</v>
      </c>
      <c r="G27" s="571">
        <f t="shared" si="1"/>
        <v>1798</v>
      </c>
      <c r="H27" s="572">
        <f t="shared" si="3"/>
        <v>3.5286729206735486E-2</v>
      </c>
      <c r="I27" s="111"/>
      <c r="K27" s="119"/>
    </row>
    <row r="28" spans="1:16">
      <c r="A28" s="114"/>
      <c r="B28" s="13"/>
      <c r="C28" s="12"/>
      <c r="D28" s="791" t="s">
        <v>717</v>
      </c>
      <c r="E28" s="569">
        <f t="shared" si="0"/>
        <v>32050524.599999946</v>
      </c>
      <c r="F28" s="570">
        <f t="shared" si="2"/>
        <v>3.3948005332709259E-2</v>
      </c>
      <c r="G28" s="571">
        <f t="shared" si="1"/>
        <v>1912</v>
      </c>
      <c r="H28" s="572">
        <f t="shared" si="3"/>
        <v>3.7524041292145857E-2</v>
      </c>
      <c r="I28" s="111"/>
      <c r="K28" s="119"/>
    </row>
    <row r="29" spans="1:16">
      <c r="A29" s="114"/>
      <c r="B29" s="13"/>
      <c r="C29" s="12"/>
      <c r="D29" s="791" t="s">
        <v>718</v>
      </c>
      <c r="E29" s="569">
        <f t="shared" si="0"/>
        <v>24871101.269999973</v>
      </c>
      <c r="F29" s="570">
        <f t="shared" si="2"/>
        <v>2.6343540053766001E-2</v>
      </c>
      <c r="G29" s="571">
        <f t="shared" si="1"/>
        <v>1412</v>
      </c>
      <c r="H29" s="572">
        <f t="shared" si="3"/>
        <v>2.7711268987714407E-2</v>
      </c>
      <c r="I29" s="111"/>
      <c r="K29" s="119"/>
    </row>
    <row r="30" spans="1:16" ht="13" thickBot="1">
      <c r="A30" s="114"/>
      <c r="B30" s="13"/>
      <c r="C30" s="12"/>
      <c r="D30" s="791" t="s">
        <v>228</v>
      </c>
      <c r="E30" s="569">
        <f t="shared" si="0"/>
        <v>210186.83000000002</v>
      </c>
      <c r="F30" s="570">
        <f t="shared" si="2"/>
        <v>2.2263047843233328E-4</v>
      </c>
      <c r="G30" s="571">
        <f t="shared" si="1"/>
        <v>10</v>
      </c>
      <c r="H30" s="572">
        <f t="shared" si="3"/>
        <v>1.9625544608862895E-4</v>
      </c>
      <c r="I30" s="111"/>
      <c r="K30" s="119"/>
    </row>
    <row r="31" spans="1:16" ht="14" thickTop="1" thickBot="1">
      <c r="A31" s="114"/>
      <c r="B31" s="13"/>
      <c r="C31" s="12"/>
      <c r="D31" s="521" t="s">
        <v>36</v>
      </c>
      <c r="E31" s="777">
        <f>SUM(E14:E30)</f>
        <v>944106267.38999975</v>
      </c>
      <c r="F31" s="778">
        <f t="shared" ref="F31:H31" si="4">SUM(F14:F30)</f>
        <v>0.99999999999999989</v>
      </c>
      <c r="G31" s="779">
        <f t="shared" si="4"/>
        <v>50954</v>
      </c>
      <c r="H31" s="780">
        <f t="shared" si="4"/>
        <v>0.99999999999999989</v>
      </c>
      <c r="I31" s="111"/>
      <c r="J31" s="111"/>
      <c r="K31" s="119"/>
    </row>
    <row r="32" spans="1:16">
      <c r="A32" s="114"/>
      <c r="B32" s="13"/>
      <c r="C32" s="12"/>
      <c r="E32" s="427"/>
      <c r="F32" s="428"/>
      <c r="G32" s="324"/>
      <c r="I32" s="111"/>
      <c r="J32" s="111"/>
      <c r="K32" s="119"/>
      <c r="N32" s="427"/>
      <c r="O32" s="428"/>
      <c r="P32" s="324"/>
    </row>
    <row r="33" spans="1:17">
      <c r="A33" s="114"/>
      <c r="B33" s="13"/>
      <c r="C33" s="12"/>
      <c r="E33" s="427"/>
      <c r="F33" s="428"/>
      <c r="G33" s="324"/>
      <c r="I33" s="111"/>
      <c r="J33" s="111"/>
      <c r="K33" s="119"/>
      <c r="N33" s="427"/>
      <c r="O33" s="428"/>
      <c r="P33" s="324"/>
    </row>
    <row r="34" spans="1:17">
      <c r="A34" s="114"/>
      <c r="B34" s="13"/>
      <c r="C34" s="12"/>
      <c r="E34" s="427"/>
      <c r="F34" s="428"/>
      <c r="G34" s="324"/>
      <c r="I34" s="111"/>
      <c r="J34" s="111"/>
      <c r="K34" s="119"/>
      <c r="N34" s="427"/>
      <c r="O34" s="428"/>
      <c r="P34" s="324"/>
    </row>
    <row r="35" spans="1:17">
      <c r="A35" s="114"/>
      <c r="B35" s="13"/>
      <c r="C35" s="12"/>
      <c r="E35" s="427"/>
      <c r="F35" s="428"/>
      <c r="G35" s="324"/>
      <c r="I35" s="111"/>
      <c r="J35" s="111"/>
      <c r="K35" s="119"/>
      <c r="N35" s="427"/>
      <c r="O35" s="428"/>
      <c r="P35" s="324"/>
    </row>
    <row r="36" spans="1:17">
      <c r="A36" s="114"/>
      <c r="B36" s="13"/>
      <c r="C36" s="12"/>
      <c r="E36" s="427"/>
      <c r="F36" s="428"/>
      <c r="G36" s="324"/>
      <c r="I36" s="111"/>
      <c r="J36" s="111"/>
      <c r="K36" s="119"/>
      <c r="N36" s="427"/>
      <c r="O36" s="428"/>
      <c r="P36" s="324"/>
    </row>
    <row r="37" spans="1:17">
      <c r="A37" s="114"/>
      <c r="B37" s="13"/>
      <c r="C37" s="12"/>
      <c r="E37" s="427"/>
      <c r="F37" s="428"/>
      <c r="G37" s="324"/>
      <c r="I37" s="111"/>
      <c r="J37" s="111"/>
      <c r="K37" s="119"/>
      <c r="N37" s="427"/>
      <c r="O37" s="428"/>
      <c r="P37" s="324"/>
    </row>
    <row r="38" spans="1:17">
      <c r="A38" s="114"/>
      <c r="B38" s="13"/>
      <c r="C38" s="12"/>
      <c r="E38" s="427"/>
      <c r="F38" s="428"/>
      <c r="G38" s="324"/>
      <c r="I38" s="111"/>
      <c r="J38" s="111"/>
      <c r="K38" s="119"/>
      <c r="N38" s="427"/>
      <c r="O38" s="428"/>
      <c r="P38" s="324"/>
    </row>
    <row r="39" spans="1:17">
      <c r="A39" s="114"/>
      <c r="B39" s="13"/>
      <c r="C39" s="12"/>
      <c r="E39" s="427"/>
      <c r="F39" s="428"/>
      <c r="G39" s="324"/>
      <c r="I39" s="111"/>
      <c r="J39" s="111"/>
      <c r="K39" s="119"/>
      <c r="N39" s="427"/>
      <c r="O39" s="428"/>
      <c r="P39" s="324"/>
    </row>
    <row r="40" spans="1:17">
      <c r="A40" s="114"/>
      <c r="B40" s="13"/>
      <c r="C40" s="12"/>
      <c r="E40" s="427"/>
      <c r="F40" s="428"/>
      <c r="G40" s="324"/>
      <c r="I40" s="111"/>
      <c r="J40" s="111"/>
      <c r="K40" s="119"/>
      <c r="N40" s="427"/>
      <c r="O40" s="428"/>
      <c r="P40" s="324"/>
    </row>
    <row r="41" spans="1:17">
      <c r="A41" s="114"/>
      <c r="B41" s="13"/>
      <c r="C41" s="12"/>
      <c r="E41" s="427"/>
      <c r="F41" s="428"/>
      <c r="G41" s="324"/>
      <c r="I41" s="111"/>
      <c r="J41" s="111"/>
      <c r="K41" s="119"/>
      <c r="N41" s="427"/>
      <c r="O41" s="428"/>
      <c r="P41" s="324"/>
    </row>
    <row r="42" spans="1:17">
      <c r="A42" s="114"/>
      <c r="B42" s="13"/>
      <c r="C42" s="12"/>
      <c r="E42" s="427"/>
      <c r="F42" s="428"/>
      <c r="G42" s="324"/>
      <c r="I42" s="111"/>
      <c r="J42" s="111"/>
      <c r="K42" s="119"/>
      <c r="N42" s="427"/>
      <c r="O42" s="428"/>
      <c r="P42" s="324"/>
    </row>
    <row r="43" spans="1:17">
      <c r="A43" s="114"/>
      <c r="B43" s="13"/>
      <c r="C43" s="12"/>
      <c r="E43" s="427"/>
      <c r="F43" s="428"/>
      <c r="G43" s="324"/>
      <c r="I43" s="111"/>
      <c r="J43" s="111"/>
      <c r="K43" s="119"/>
      <c r="N43" s="427"/>
      <c r="O43" s="428"/>
      <c r="P43" s="324"/>
    </row>
    <row r="44" spans="1:17">
      <c r="A44" s="114"/>
      <c r="B44" s="13"/>
      <c r="C44" s="12"/>
      <c r="E44" s="427"/>
      <c r="F44" s="428"/>
      <c r="G44" s="324"/>
      <c r="I44" s="111"/>
      <c r="J44" s="111"/>
      <c r="K44" s="119"/>
      <c r="N44" s="427"/>
      <c r="O44" s="428"/>
      <c r="P44" s="324"/>
    </row>
    <row r="45" spans="1:17">
      <c r="A45" s="114"/>
      <c r="B45" s="13"/>
      <c r="C45" s="12"/>
      <c r="E45" s="427"/>
      <c r="F45" s="428"/>
      <c r="G45" s="324"/>
      <c r="I45" s="111"/>
      <c r="J45" s="111"/>
      <c r="K45" s="119"/>
      <c r="N45" s="427"/>
      <c r="O45" s="428"/>
      <c r="P45" s="324"/>
    </row>
    <row r="46" spans="1:17">
      <c r="A46" s="114"/>
      <c r="B46" s="13"/>
      <c r="C46" s="12"/>
      <c r="E46" s="427"/>
      <c r="F46" s="428"/>
      <c r="G46" s="324"/>
      <c r="I46" s="111"/>
      <c r="J46" s="111"/>
      <c r="K46" s="119"/>
      <c r="N46" s="427"/>
      <c r="O46" s="428"/>
      <c r="P46" s="32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144</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145</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100</v>
      </c>
      <c r="E13" s="465" t="s">
        <v>72</v>
      </c>
      <c r="F13" s="437" t="s">
        <v>114</v>
      </c>
      <c r="G13" s="438" t="s">
        <v>62</v>
      </c>
      <c r="H13" s="466" t="s">
        <v>115</v>
      </c>
      <c r="I13" s="111"/>
      <c r="K13" s="119"/>
      <c r="M13" s="201"/>
      <c r="N13" s="204"/>
      <c r="O13" s="202"/>
      <c r="P13" s="434"/>
      <c r="Q13" s="434"/>
    </row>
    <row r="14" spans="1:17" ht="13.5" customHeight="1">
      <c r="A14" s="114"/>
      <c r="B14" s="13"/>
      <c r="C14" s="12"/>
      <c r="D14" s="549" t="s">
        <v>573</v>
      </c>
      <c r="E14" s="550">
        <f>VLOOKUP(CONCATENATE("Collateral_",D14),Assets_Daten,3,0)</f>
        <v>5913995.7400000002</v>
      </c>
      <c r="F14" s="551">
        <f>E14/$E$16</f>
        <v>6.2641208349875155E-3</v>
      </c>
      <c r="G14" s="552">
        <f>VLOOKUP(CONCATENATE("Collateral_",D14),Assets_Daten,2,0)</f>
        <v>189</v>
      </c>
      <c r="H14" s="553">
        <f>G14/$G$16</f>
        <v>3.7092279310750875E-3</v>
      </c>
      <c r="I14" s="111"/>
      <c r="K14" s="119"/>
      <c r="M14" s="545"/>
      <c r="N14" s="546"/>
      <c r="O14" s="554"/>
      <c r="P14" s="555"/>
      <c r="Q14" s="547"/>
    </row>
    <row r="15" spans="1:17" ht="13" thickBot="1">
      <c r="A15" s="114"/>
      <c r="B15" s="13"/>
      <c r="C15" s="12"/>
      <c r="D15" s="556" t="s">
        <v>574</v>
      </c>
      <c r="E15" s="557">
        <f>VLOOKUP(CONCATENATE("Collateral_",D15),Assets_Daten,3,0)</f>
        <v>938192271.65000105</v>
      </c>
      <c r="F15" s="558">
        <f>E15/$E$16</f>
        <v>0.99373587916501249</v>
      </c>
      <c r="G15" s="559">
        <f>VLOOKUP(CONCATENATE("Collateral_",D15),Assets_Daten,2,0)</f>
        <v>50765</v>
      </c>
      <c r="H15" s="560">
        <f>G15/$G$16</f>
        <v>0.99629077206892491</v>
      </c>
      <c r="I15" s="111"/>
      <c r="K15" s="119"/>
      <c r="M15" s="545"/>
      <c r="N15" s="546"/>
      <c r="O15" s="554"/>
      <c r="P15" s="555"/>
      <c r="Q15" s="547"/>
    </row>
    <row r="16" spans="1:17" ht="14" thickTop="1" thickBot="1">
      <c r="A16" s="114"/>
      <c r="B16" s="13"/>
      <c r="C16" s="12"/>
      <c r="D16" s="460" t="s">
        <v>36</v>
      </c>
      <c r="E16" s="477">
        <f>SUM(E14:E15)</f>
        <v>944106267.39000106</v>
      </c>
      <c r="F16" s="781">
        <f t="shared" ref="F16:H16" si="0">SUM(F14:F15)</f>
        <v>1</v>
      </c>
      <c r="G16" s="479">
        <f t="shared" si="0"/>
        <v>50954</v>
      </c>
      <c r="H16" s="782">
        <f t="shared" si="0"/>
        <v>1</v>
      </c>
      <c r="I16" s="111"/>
      <c r="K16" s="119"/>
      <c r="M16" s="32"/>
      <c r="N16" s="431"/>
      <c r="O16" s="561"/>
      <c r="P16" s="432"/>
      <c r="Q16" s="499"/>
    </row>
    <row r="17" spans="1:17">
      <c r="A17" s="114"/>
      <c r="B17" s="13"/>
      <c r="C17" s="12"/>
      <c r="I17" s="111"/>
      <c r="K17" s="119"/>
    </row>
    <row r="18" spans="1:17">
      <c r="A18" s="114"/>
      <c r="B18" s="13"/>
      <c r="C18" s="12"/>
      <c r="E18" s="220"/>
      <c r="G18" s="501"/>
      <c r="I18" s="111"/>
      <c r="K18" s="119"/>
      <c r="N18" s="220"/>
      <c r="P18" s="501"/>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2"/>
      <c r="E28" s="563"/>
      <c r="F28" s="564"/>
      <c r="G28" s="565"/>
      <c r="H28" s="564"/>
      <c r="I28" s="111"/>
      <c r="K28" s="119"/>
      <c r="M28" s="562"/>
      <c r="N28" s="563"/>
      <c r="O28" s="564"/>
      <c r="P28" s="565"/>
      <c r="Q28" s="564"/>
    </row>
    <row r="29" spans="1:17">
      <c r="A29" s="114"/>
      <c r="B29" s="13"/>
      <c r="C29" s="12"/>
      <c r="D29" s="562"/>
      <c r="E29" s="563"/>
      <c r="F29" s="564"/>
      <c r="G29" s="565"/>
      <c r="H29" s="564"/>
      <c r="I29" s="111"/>
      <c r="K29" s="119"/>
      <c r="M29" s="562"/>
      <c r="N29" s="563"/>
      <c r="O29" s="564"/>
      <c r="P29" s="565"/>
      <c r="Q29" s="564"/>
    </row>
    <row r="30" spans="1:17">
      <c r="A30" s="114"/>
      <c r="B30" s="13"/>
      <c r="C30" s="12"/>
      <c r="D30" s="562"/>
      <c r="E30" s="563"/>
      <c r="F30" s="564"/>
      <c r="G30" s="565"/>
      <c r="H30" s="564"/>
      <c r="I30" s="111"/>
      <c r="K30" s="119"/>
      <c r="M30" s="562"/>
      <c r="N30" s="563"/>
      <c r="O30" s="564"/>
      <c r="P30" s="565"/>
      <c r="Q30" s="564"/>
    </row>
    <row r="31" spans="1:17">
      <c r="A31" s="114"/>
      <c r="B31" s="13"/>
      <c r="C31" s="12"/>
      <c r="D31" s="562"/>
      <c r="E31" s="563"/>
      <c r="F31" s="564"/>
      <c r="G31" s="565"/>
      <c r="H31" s="564"/>
      <c r="I31" s="111"/>
      <c r="K31" s="119"/>
      <c r="M31" s="562"/>
      <c r="N31" s="563"/>
      <c r="O31" s="564"/>
      <c r="P31" s="565"/>
      <c r="Q31" s="564"/>
    </row>
    <row r="32" spans="1:17">
      <c r="A32" s="114"/>
      <c r="B32" s="13"/>
      <c r="C32" s="12"/>
      <c r="D32" s="562"/>
      <c r="E32" s="563"/>
      <c r="F32" s="564"/>
      <c r="G32" s="565"/>
      <c r="H32" s="564"/>
      <c r="I32" s="111"/>
      <c r="K32" s="119"/>
      <c r="M32" s="562"/>
      <c r="N32" s="563"/>
      <c r="O32" s="564"/>
      <c r="P32" s="565"/>
      <c r="Q32" s="564"/>
    </row>
    <row r="33" spans="1:17">
      <c r="A33" s="114"/>
      <c r="B33" s="13"/>
      <c r="C33" s="12"/>
      <c r="D33" s="562"/>
      <c r="E33" s="563"/>
      <c r="F33" s="564"/>
      <c r="G33" s="565"/>
      <c r="H33" s="564"/>
      <c r="I33" s="111"/>
      <c r="K33" s="119"/>
      <c r="M33" s="562"/>
      <c r="N33" s="563"/>
      <c r="O33" s="564"/>
      <c r="P33" s="565"/>
      <c r="Q33" s="564"/>
    </row>
    <row r="34" spans="1:17">
      <c r="A34" s="114"/>
      <c r="B34" s="13"/>
      <c r="C34" s="12"/>
      <c r="D34" s="562"/>
      <c r="E34" s="563"/>
      <c r="F34" s="564"/>
      <c r="G34" s="565"/>
      <c r="H34" s="564"/>
      <c r="I34" s="111"/>
      <c r="K34" s="119"/>
      <c r="M34" s="562"/>
      <c r="N34" s="563"/>
      <c r="O34" s="564"/>
      <c r="P34" s="565"/>
      <c r="Q34" s="564"/>
    </row>
    <row r="35" spans="1:17">
      <c r="A35" s="114"/>
      <c r="B35" s="13"/>
      <c r="C35" s="12"/>
      <c r="D35" s="562"/>
      <c r="E35" s="563"/>
      <c r="F35" s="564"/>
      <c r="G35" s="565"/>
      <c r="H35" s="564"/>
      <c r="I35" s="111"/>
      <c r="K35" s="119"/>
      <c r="M35" s="562"/>
      <c r="N35" s="563"/>
      <c r="O35" s="564"/>
      <c r="P35" s="565"/>
      <c r="Q35" s="564"/>
    </row>
    <row r="36" spans="1:17">
      <c r="A36" s="114"/>
      <c r="B36" s="13"/>
      <c r="C36" s="12"/>
      <c r="D36" s="562"/>
      <c r="E36" s="563"/>
      <c r="F36" s="564"/>
      <c r="G36" s="565"/>
      <c r="H36" s="564"/>
      <c r="I36" s="111"/>
      <c r="K36" s="119"/>
      <c r="M36" s="562"/>
      <c r="N36" s="563"/>
      <c r="O36" s="564"/>
      <c r="P36" s="565"/>
      <c r="Q36" s="564"/>
    </row>
    <row r="37" spans="1:17">
      <c r="A37" s="114"/>
      <c r="B37" s="13"/>
      <c r="C37" s="12"/>
      <c r="D37" s="562"/>
      <c r="E37" s="563"/>
      <c r="F37" s="564"/>
      <c r="G37" s="565"/>
      <c r="H37" s="564"/>
      <c r="I37" s="111"/>
      <c r="K37" s="119"/>
      <c r="M37" s="562"/>
      <c r="N37" s="563"/>
      <c r="O37" s="564"/>
      <c r="P37" s="565"/>
      <c r="Q37" s="564"/>
    </row>
    <row r="38" spans="1:17">
      <c r="A38" s="114"/>
      <c r="B38" s="13"/>
      <c r="C38" s="12"/>
      <c r="D38" s="562"/>
      <c r="E38" s="563"/>
      <c r="F38" s="564"/>
      <c r="G38" s="565"/>
      <c r="H38" s="564"/>
      <c r="I38" s="111"/>
      <c r="K38" s="119"/>
      <c r="M38" s="562"/>
      <c r="N38" s="563"/>
      <c r="O38" s="564"/>
      <c r="P38" s="565"/>
      <c r="Q38" s="564"/>
    </row>
    <row r="39" spans="1:17">
      <c r="A39" s="114"/>
      <c r="B39" s="13"/>
      <c r="C39" s="12"/>
      <c r="D39" s="562"/>
      <c r="E39" s="563"/>
      <c r="F39" s="564"/>
      <c r="G39" s="565"/>
      <c r="H39" s="564"/>
      <c r="I39" s="111"/>
      <c r="K39" s="119"/>
      <c r="M39" s="562"/>
      <c r="N39" s="563"/>
      <c r="O39" s="564"/>
      <c r="P39" s="565"/>
      <c r="Q39" s="564"/>
    </row>
    <row r="40" spans="1:17">
      <c r="A40" s="114"/>
      <c r="B40" s="13"/>
      <c r="C40" s="12"/>
      <c r="D40" s="562"/>
      <c r="E40" s="563"/>
      <c r="F40" s="564"/>
      <c r="G40" s="565"/>
      <c r="H40" s="564"/>
      <c r="I40" s="111"/>
      <c r="K40" s="119"/>
      <c r="M40" s="562"/>
      <c r="N40" s="563"/>
      <c r="O40" s="564"/>
      <c r="P40" s="565"/>
      <c r="Q40" s="564"/>
    </row>
    <row r="41" spans="1:17">
      <c r="A41" s="114"/>
      <c r="B41" s="13"/>
      <c r="C41" s="12"/>
      <c r="D41" s="562"/>
      <c r="E41" s="563"/>
      <c r="F41" s="564"/>
      <c r="G41" s="565"/>
      <c r="H41" s="564"/>
      <c r="I41" s="111"/>
      <c r="K41" s="119"/>
      <c r="M41" s="562"/>
      <c r="N41" s="563"/>
      <c r="O41" s="564"/>
      <c r="P41" s="565"/>
      <c r="Q41" s="564"/>
    </row>
    <row r="42" spans="1:17">
      <c r="A42" s="114"/>
      <c r="B42" s="13"/>
      <c r="C42" s="12"/>
      <c r="D42" s="562"/>
      <c r="E42" s="563"/>
      <c r="F42" s="564"/>
      <c r="G42" s="565"/>
      <c r="H42" s="564"/>
      <c r="I42" s="111"/>
      <c r="K42" s="119"/>
      <c r="M42" s="562"/>
      <c r="N42" s="563"/>
      <c r="O42" s="564"/>
      <c r="P42" s="565"/>
      <c r="Q42" s="564"/>
    </row>
    <row r="43" spans="1:17">
      <c r="A43" s="114"/>
      <c r="B43" s="13"/>
      <c r="C43" s="12"/>
      <c r="D43" s="562"/>
      <c r="E43" s="563"/>
      <c r="F43" s="564"/>
      <c r="G43" s="565"/>
      <c r="H43" s="564"/>
      <c r="I43" s="111"/>
      <c r="K43" s="119"/>
      <c r="M43" s="562"/>
      <c r="N43" s="563"/>
      <c r="O43" s="564"/>
      <c r="P43" s="565"/>
      <c r="Q43" s="564"/>
    </row>
    <row r="44" spans="1:17">
      <c r="A44" s="114"/>
      <c r="B44" s="13"/>
      <c r="C44" s="12"/>
      <c r="D44" s="562"/>
      <c r="E44" s="563"/>
      <c r="F44" s="564"/>
      <c r="G44" s="565"/>
      <c r="H44" s="564"/>
      <c r="I44" s="111"/>
      <c r="K44" s="119"/>
      <c r="M44" s="562"/>
      <c r="N44" s="563"/>
      <c r="O44" s="564"/>
      <c r="P44" s="565"/>
      <c r="Q44" s="564"/>
    </row>
    <row r="45" spans="1:17">
      <c r="A45" s="114"/>
      <c r="B45" s="13"/>
      <c r="C45" s="12"/>
      <c r="D45" s="562"/>
      <c r="E45" s="563"/>
      <c r="F45" s="564"/>
      <c r="G45" s="565"/>
      <c r="H45" s="564"/>
      <c r="I45" s="111"/>
      <c r="K45" s="119"/>
      <c r="M45" s="562"/>
      <c r="N45" s="563"/>
      <c r="O45" s="564"/>
      <c r="P45" s="565"/>
      <c r="Q45" s="564"/>
    </row>
    <row r="46" spans="1:17">
      <c r="A46" s="114"/>
      <c r="B46" s="13"/>
      <c r="C46" s="12"/>
      <c r="D46" s="562"/>
      <c r="E46" s="563"/>
      <c r="F46" s="564"/>
      <c r="G46" s="565"/>
      <c r="H46" s="564"/>
      <c r="I46" s="111"/>
      <c r="K46" s="119"/>
      <c r="M46" s="562"/>
      <c r="N46" s="563"/>
      <c r="O46" s="564"/>
      <c r="P46" s="565"/>
      <c r="Q46" s="56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146</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112</v>
      </c>
      <c r="E13" s="465" t="s">
        <v>95</v>
      </c>
      <c r="F13" s="437" t="s">
        <v>114</v>
      </c>
      <c r="G13" s="438" t="s">
        <v>62</v>
      </c>
      <c r="H13" s="466" t="s">
        <v>115</v>
      </c>
      <c r="I13" s="111"/>
      <c r="K13" s="119"/>
      <c r="M13" s="201"/>
      <c r="N13" s="204"/>
      <c r="O13" s="202"/>
      <c r="P13" s="434"/>
      <c r="Q13" s="434"/>
    </row>
    <row r="14" spans="1:17" ht="13.5" customHeight="1">
      <c r="A14" s="114"/>
      <c r="B14" s="13"/>
      <c r="C14" s="12"/>
      <c r="D14" s="532" t="s">
        <v>63</v>
      </c>
      <c r="E14" s="533">
        <f>VLOOKUP(CONCATENATE("Insurance_",D14),Assets_Daten,3,0)</f>
        <v>239407327.36999941</v>
      </c>
      <c r="F14" s="534">
        <f>E14/$E$16</f>
        <v>0.25358091100469571</v>
      </c>
      <c r="G14" s="535">
        <f>VLOOKUP(CONCATENATE("Insurance_",D14),Assets_Daten,2,0)</f>
        <v>17101</v>
      </c>
      <c r="H14" s="536">
        <f>G14/$G$16</f>
        <v>0.33561643835616439</v>
      </c>
      <c r="I14" s="111"/>
      <c r="K14" s="119"/>
      <c r="M14" s="537"/>
      <c r="N14" s="538"/>
      <c r="O14" s="539"/>
      <c r="P14" s="540"/>
      <c r="Q14" s="539"/>
    </row>
    <row r="15" spans="1:17" ht="13" thickBot="1">
      <c r="A15" s="114"/>
      <c r="B15" s="13"/>
      <c r="C15" s="12"/>
      <c r="D15" s="541" t="s">
        <v>575</v>
      </c>
      <c r="E15" s="542">
        <f>VLOOKUP(CONCATENATE("Insurance_",D15),Assets_Daten,3,0)</f>
        <v>704698940.02000213</v>
      </c>
      <c r="F15" s="534">
        <f>E15/$E$16</f>
        <v>0.74641908899530429</v>
      </c>
      <c r="G15" s="543">
        <f>VLOOKUP(CONCATENATE("Insurance_",D15),Assets_Daten,2,0)</f>
        <v>33853</v>
      </c>
      <c r="H15" s="536">
        <f>G15/$G$16</f>
        <v>0.66438356164383561</v>
      </c>
      <c r="I15" s="111"/>
      <c r="K15" s="119"/>
      <c r="M15" s="537"/>
      <c r="N15" s="538"/>
      <c r="O15" s="539"/>
      <c r="P15" s="540"/>
      <c r="Q15" s="539"/>
    </row>
    <row r="16" spans="1:17" ht="14" thickTop="1" thickBot="1">
      <c r="A16" s="114"/>
      <c r="B16" s="13"/>
      <c r="C16" s="12"/>
      <c r="D16" s="521" t="s">
        <v>36</v>
      </c>
      <c r="E16" s="777">
        <f>SUM(E14:E15)</f>
        <v>944106267.39000154</v>
      </c>
      <c r="F16" s="783">
        <f t="shared" ref="F16:H16" si="0">SUM(F14:F15)</f>
        <v>1</v>
      </c>
      <c r="G16" s="779">
        <f t="shared" si="0"/>
        <v>50954</v>
      </c>
      <c r="H16" s="784">
        <f t="shared" si="0"/>
        <v>1</v>
      </c>
      <c r="I16" s="111"/>
      <c r="K16" s="119"/>
      <c r="M16" s="522"/>
      <c r="N16" s="523"/>
      <c r="O16" s="524"/>
      <c r="P16" s="525"/>
      <c r="Q16" s="524"/>
    </row>
    <row r="17" spans="1:17">
      <c r="A17" s="114"/>
      <c r="B17" s="13"/>
      <c r="C17" s="12"/>
      <c r="D17" s="187"/>
      <c r="E17" s="188"/>
      <c r="F17" s="544"/>
      <c r="G17" s="190"/>
      <c r="H17" s="544"/>
      <c r="I17" s="111"/>
      <c r="K17" s="119"/>
      <c r="M17" s="187"/>
      <c r="N17" s="188"/>
      <c r="O17" s="544"/>
      <c r="P17" s="190"/>
      <c r="Q17" s="544"/>
    </row>
    <row r="18" spans="1:17">
      <c r="A18" s="114"/>
      <c r="B18" s="13"/>
      <c r="C18" s="12"/>
      <c r="D18" s="187"/>
      <c r="E18" s="188"/>
      <c r="F18" s="544"/>
      <c r="G18" s="190"/>
      <c r="H18" s="544"/>
      <c r="I18" s="111"/>
      <c r="K18" s="119"/>
      <c r="M18" s="187"/>
      <c r="N18" s="188"/>
      <c r="O18" s="544"/>
      <c r="P18" s="190"/>
      <c r="Q18" s="544"/>
    </row>
    <row r="19" spans="1:17">
      <c r="A19" s="114"/>
      <c r="B19" s="13"/>
      <c r="C19" s="12"/>
      <c r="D19" s="187"/>
      <c r="E19" s="188"/>
      <c r="F19" s="544"/>
      <c r="G19" s="190"/>
      <c r="H19" s="544"/>
      <c r="I19" s="111"/>
      <c r="K19" s="119"/>
      <c r="M19" s="187"/>
      <c r="N19" s="188"/>
      <c r="O19" s="544"/>
      <c r="P19" s="190"/>
      <c r="Q19" s="544"/>
    </row>
    <row r="20" spans="1:17">
      <c r="A20" s="114"/>
      <c r="B20" s="13"/>
      <c r="C20" s="12"/>
      <c r="D20" s="187"/>
      <c r="E20" s="188"/>
      <c r="F20" s="544"/>
      <c r="G20" s="190"/>
      <c r="H20" s="544"/>
      <c r="I20" s="111"/>
      <c r="K20" s="119"/>
      <c r="M20" s="187"/>
      <c r="N20" s="188"/>
      <c r="O20" s="544"/>
      <c r="P20" s="190"/>
      <c r="Q20" s="544"/>
    </row>
    <row r="21" spans="1:17">
      <c r="A21" s="114"/>
      <c r="B21" s="13"/>
      <c r="C21" s="12"/>
      <c r="E21" s="188"/>
      <c r="F21" s="544"/>
      <c r="G21" s="190"/>
      <c r="H21" s="544"/>
      <c r="I21" s="111"/>
      <c r="K21" s="119"/>
      <c r="M21" s="187"/>
      <c r="N21" s="188"/>
      <c r="O21" s="544"/>
      <c r="P21" s="190"/>
      <c r="Q21" s="544"/>
    </row>
    <row r="22" spans="1:17">
      <c r="A22" s="114"/>
      <c r="B22" s="13"/>
      <c r="C22" s="12"/>
      <c r="D22" s="187"/>
      <c r="E22" s="188"/>
      <c r="F22" s="544"/>
      <c r="G22" s="190"/>
      <c r="H22" s="544"/>
      <c r="I22" s="111"/>
      <c r="K22" s="119"/>
      <c r="M22" s="187"/>
      <c r="N22" s="188"/>
      <c r="O22" s="544"/>
      <c r="P22" s="190"/>
      <c r="Q22" s="544"/>
    </row>
    <row r="23" spans="1:17">
      <c r="A23" s="114"/>
      <c r="B23" s="13"/>
      <c r="C23" s="12"/>
      <c r="D23" s="187"/>
      <c r="E23" s="188"/>
      <c r="F23" s="544"/>
      <c r="G23" s="190"/>
      <c r="H23" s="544"/>
      <c r="I23" s="111"/>
      <c r="K23" s="119"/>
      <c r="M23" s="187"/>
      <c r="N23" s="188"/>
      <c r="O23" s="544"/>
      <c r="P23" s="190"/>
      <c r="Q23" s="544"/>
    </row>
    <row r="24" spans="1:17">
      <c r="A24" s="114"/>
      <c r="B24" s="13"/>
      <c r="C24" s="12"/>
      <c r="D24" s="187"/>
      <c r="E24" s="188"/>
      <c r="F24" s="544"/>
      <c r="G24" s="190"/>
      <c r="H24" s="544"/>
      <c r="I24" s="111"/>
      <c r="K24" s="119"/>
      <c r="M24" s="187"/>
      <c r="N24" s="188"/>
      <c r="O24" s="544"/>
      <c r="P24" s="190"/>
      <c r="Q24" s="544"/>
    </row>
    <row r="25" spans="1:17">
      <c r="A25" s="114"/>
      <c r="B25" s="13"/>
      <c r="C25" s="12"/>
      <c r="D25" s="545"/>
      <c r="E25" s="546"/>
      <c r="F25" s="547"/>
      <c r="G25" s="548"/>
      <c r="H25" s="547"/>
      <c r="I25" s="111"/>
      <c r="K25" s="119"/>
      <c r="M25" s="545"/>
      <c r="N25" s="546"/>
      <c r="O25" s="547"/>
      <c r="P25" s="548"/>
      <c r="Q25" s="547"/>
    </row>
    <row r="26" spans="1:17">
      <c r="A26" s="114"/>
      <c r="B26" s="13"/>
      <c r="C26" s="12"/>
      <c r="D26" s="545"/>
      <c r="E26" s="546"/>
      <c r="F26" s="547"/>
      <c r="G26" s="548"/>
      <c r="H26" s="547"/>
      <c r="I26" s="111"/>
      <c r="K26" s="119"/>
      <c r="M26" s="545"/>
      <c r="N26" s="546"/>
      <c r="O26" s="547"/>
      <c r="P26" s="548"/>
      <c r="Q26" s="547"/>
    </row>
    <row r="27" spans="1:17">
      <c r="A27" s="114"/>
      <c r="B27" s="13"/>
      <c r="C27" s="12"/>
      <c r="D27" s="545"/>
      <c r="E27" s="546"/>
      <c r="F27" s="547"/>
      <c r="G27" s="548"/>
      <c r="H27" s="547"/>
      <c r="I27" s="111"/>
      <c r="K27" s="119"/>
      <c r="M27" s="545"/>
      <c r="N27" s="546"/>
      <c r="O27" s="547"/>
      <c r="P27" s="548"/>
      <c r="Q27" s="547"/>
    </row>
    <row r="28" spans="1:17">
      <c r="A28" s="114"/>
      <c r="B28" s="13"/>
      <c r="C28" s="12"/>
      <c r="D28" s="545"/>
      <c r="E28" s="546"/>
      <c r="F28" s="547"/>
      <c r="G28" s="548"/>
      <c r="H28" s="547"/>
      <c r="I28" s="111"/>
      <c r="K28" s="119"/>
      <c r="M28" s="545"/>
      <c r="N28" s="546"/>
      <c r="O28" s="547"/>
      <c r="P28" s="548"/>
      <c r="Q28" s="547"/>
    </row>
    <row r="29" spans="1:17">
      <c r="A29" s="114"/>
      <c r="B29" s="13"/>
      <c r="C29" s="12"/>
      <c r="D29" s="545"/>
      <c r="E29" s="546"/>
      <c r="F29" s="547"/>
      <c r="G29" s="548"/>
      <c r="H29" s="547"/>
      <c r="I29" s="111"/>
      <c r="K29" s="119"/>
      <c r="M29" s="545"/>
      <c r="N29" s="546"/>
      <c r="O29" s="547"/>
      <c r="P29" s="548"/>
      <c r="Q29" s="547"/>
    </row>
    <row r="30" spans="1:17">
      <c r="A30" s="114"/>
      <c r="B30" s="13"/>
      <c r="C30" s="12"/>
      <c r="D30" s="545"/>
      <c r="E30" s="546"/>
      <c r="F30" s="547"/>
      <c r="G30" s="548"/>
      <c r="H30" s="547"/>
      <c r="I30" s="111"/>
      <c r="K30" s="119"/>
      <c r="M30" s="545"/>
      <c r="N30" s="546"/>
      <c r="O30" s="547"/>
      <c r="P30" s="548"/>
      <c r="Q30" s="547"/>
    </row>
    <row r="31" spans="1:17">
      <c r="A31" s="114"/>
      <c r="B31" s="13"/>
      <c r="C31" s="12"/>
      <c r="D31" s="545"/>
      <c r="E31" s="546"/>
      <c r="F31" s="547"/>
      <c r="G31" s="548"/>
      <c r="H31" s="547"/>
      <c r="I31" s="111"/>
      <c r="K31" s="119"/>
      <c r="M31" s="545"/>
      <c r="N31" s="546"/>
      <c r="O31" s="547"/>
      <c r="P31" s="548"/>
      <c r="Q31" s="547"/>
    </row>
    <row r="32" spans="1:17">
      <c r="A32" s="114"/>
      <c r="B32" s="13"/>
      <c r="C32" s="12"/>
      <c r="D32" s="545"/>
      <c r="E32" s="546"/>
      <c r="F32" s="547"/>
      <c r="G32" s="548"/>
      <c r="H32" s="547"/>
      <c r="I32" s="111"/>
      <c r="K32" s="119"/>
      <c r="M32" s="545"/>
      <c r="N32" s="546"/>
      <c r="O32" s="547"/>
      <c r="P32" s="548"/>
      <c r="Q32" s="547"/>
    </row>
    <row r="33" spans="1:17">
      <c r="A33" s="114"/>
      <c r="B33" s="13"/>
      <c r="C33" s="12"/>
      <c r="D33" s="545"/>
      <c r="E33" s="546"/>
      <c r="F33" s="547"/>
      <c r="G33" s="548"/>
      <c r="H33" s="547"/>
      <c r="I33" s="111"/>
      <c r="K33" s="119"/>
      <c r="M33" s="545"/>
      <c r="N33" s="546"/>
      <c r="O33" s="547"/>
      <c r="P33" s="548"/>
      <c r="Q33" s="547"/>
    </row>
    <row r="34" spans="1:17">
      <c r="A34" s="114"/>
      <c r="B34" s="13"/>
      <c r="C34" s="12"/>
      <c r="D34" s="545"/>
      <c r="E34" s="546"/>
      <c r="F34" s="547"/>
      <c r="G34" s="548"/>
      <c r="H34" s="547"/>
      <c r="I34" s="111"/>
      <c r="K34" s="119"/>
      <c r="M34" s="545"/>
      <c r="N34" s="546"/>
      <c r="O34" s="547"/>
      <c r="P34" s="548"/>
      <c r="Q34" s="547"/>
    </row>
    <row r="35" spans="1:17">
      <c r="A35" s="114"/>
      <c r="B35" s="13"/>
      <c r="C35" s="12"/>
      <c r="D35" s="545"/>
      <c r="E35" s="546"/>
      <c r="F35" s="547"/>
      <c r="G35" s="548"/>
      <c r="H35" s="547"/>
      <c r="I35" s="111"/>
      <c r="K35" s="119"/>
      <c r="M35" s="545"/>
      <c r="N35" s="546"/>
      <c r="O35" s="547"/>
      <c r="P35" s="548"/>
      <c r="Q35" s="547"/>
    </row>
    <row r="36" spans="1:17">
      <c r="A36" s="114"/>
      <c r="B36" s="13"/>
      <c r="C36" s="12"/>
      <c r="D36" s="545"/>
      <c r="E36" s="546"/>
      <c r="F36" s="547"/>
      <c r="G36" s="548"/>
      <c r="H36" s="547"/>
      <c r="I36" s="111"/>
      <c r="K36" s="119"/>
      <c r="M36" s="545"/>
      <c r="N36" s="546"/>
      <c r="O36" s="547"/>
      <c r="P36" s="548"/>
      <c r="Q36" s="547"/>
    </row>
    <row r="37" spans="1:17">
      <c r="A37" s="114"/>
      <c r="B37" s="13"/>
      <c r="C37" s="12"/>
      <c r="D37" s="545"/>
      <c r="E37" s="546"/>
      <c r="F37" s="547"/>
      <c r="G37" s="548"/>
      <c r="H37" s="547"/>
      <c r="I37" s="111"/>
      <c r="K37" s="119"/>
      <c r="M37" s="545"/>
      <c r="N37" s="546"/>
      <c r="O37" s="547"/>
      <c r="P37" s="548"/>
      <c r="Q37" s="547"/>
    </row>
    <row r="38" spans="1:17">
      <c r="A38" s="114"/>
      <c r="B38" s="13"/>
      <c r="C38" s="12"/>
      <c r="D38" s="545"/>
      <c r="E38" s="546"/>
      <c r="F38" s="547"/>
      <c r="G38" s="548"/>
      <c r="H38" s="547"/>
      <c r="I38" s="111"/>
      <c r="K38" s="119"/>
      <c r="M38" s="545"/>
      <c r="N38" s="546"/>
      <c r="O38" s="547"/>
      <c r="P38" s="548"/>
      <c r="Q38" s="547"/>
    </row>
    <row r="39" spans="1:17">
      <c r="A39" s="114"/>
      <c r="B39" s="13"/>
      <c r="C39" s="12"/>
      <c r="D39" s="545"/>
      <c r="E39" s="546"/>
      <c r="F39" s="547"/>
      <c r="G39" s="548"/>
      <c r="H39" s="547"/>
      <c r="I39" s="111"/>
      <c r="K39" s="119"/>
      <c r="M39" s="545"/>
      <c r="N39" s="546"/>
      <c r="O39" s="547"/>
      <c r="P39" s="548"/>
      <c r="Q39" s="547"/>
    </row>
    <row r="40" spans="1:17">
      <c r="A40" s="114"/>
      <c r="B40" s="13"/>
      <c r="C40" s="12"/>
      <c r="D40" s="545"/>
      <c r="E40" s="546"/>
      <c r="F40" s="547"/>
      <c r="G40" s="548"/>
      <c r="H40" s="547"/>
      <c r="I40" s="111"/>
      <c r="K40" s="119"/>
      <c r="M40" s="545"/>
      <c r="N40" s="546"/>
      <c r="O40" s="547"/>
      <c r="P40" s="548"/>
      <c r="Q40" s="547"/>
    </row>
    <row r="41" spans="1:17">
      <c r="A41" s="114"/>
      <c r="B41" s="13"/>
      <c r="C41" s="12"/>
      <c r="D41" s="545"/>
      <c r="E41" s="546"/>
      <c r="F41" s="547"/>
      <c r="G41" s="548"/>
      <c r="H41" s="547"/>
      <c r="I41" s="111"/>
      <c r="K41" s="119"/>
      <c r="M41" s="545"/>
      <c r="N41" s="546"/>
      <c r="O41" s="547"/>
      <c r="P41" s="548"/>
      <c r="Q41" s="547"/>
    </row>
    <row r="42" spans="1:17">
      <c r="A42" s="114"/>
      <c r="B42" s="13"/>
      <c r="C42" s="12"/>
      <c r="D42" s="545"/>
      <c r="E42" s="546"/>
      <c r="F42" s="547"/>
      <c r="G42" s="548"/>
      <c r="H42" s="547"/>
      <c r="I42" s="111"/>
      <c r="K42" s="119"/>
      <c r="M42" s="545"/>
      <c r="N42" s="546"/>
      <c r="O42" s="547"/>
      <c r="P42" s="548"/>
      <c r="Q42" s="547"/>
    </row>
    <row r="43" spans="1:17">
      <c r="A43" s="114"/>
      <c r="B43" s="13"/>
      <c r="C43" s="12"/>
      <c r="D43" s="545"/>
      <c r="E43" s="546"/>
      <c r="F43" s="547"/>
      <c r="G43" s="548"/>
      <c r="H43" s="547"/>
      <c r="I43" s="111"/>
      <c r="K43" s="119"/>
      <c r="M43" s="545"/>
      <c r="N43" s="546"/>
      <c r="O43" s="547"/>
      <c r="P43" s="548"/>
      <c r="Q43" s="547"/>
    </row>
    <row r="44" spans="1:17">
      <c r="A44" s="114"/>
      <c r="B44" s="13"/>
      <c r="C44" s="12"/>
      <c r="D44" s="545"/>
      <c r="E44" s="546"/>
      <c r="F44" s="547"/>
      <c r="G44" s="548"/>
      <c r="H44" s="547"/>
      <c r="I44" s="111"/>
      <c r="K44" s="119"/>
      <c r="M44" s="545"/>
      <c r="N44" s="546"/>
      <c r="O44" s="547"/>
      <c r="P44" s="548"/>
      <c r="Q44" s="547"/>
    </row>
    <row r="45" spans="1:17">
      <c r="A45" s="114"/>
      <c r="B45" s="13"/>
      <c r="C45" s="12"/>
      <c r="D45" s="545"/>
      <c r="E45" s="546"/>
      <c r="F45" s="547"/>
      <c r="G45" s="548"/>
      <c r="H45" s="547"/>
      <c r="I45" s="111"/>
      <c r="K45" s="119"/>
      <c r="M45" s="545"/>
      <c r="N45" s="546"/>
      <c r="O45" s="547"/>
      <c r="P45" s="548"/>
      <c r="Q45" s="547"/>
    </row>
    <row r="46" spans="1:17">
      <c r="A46" s="114"/>
      <c r="B46" s="13"/>
      <c r="C46" s="12"/>
      <c r="D46" s="545"/>
      <c r="E46" s="546"/>
      <c r="F46" s="547"/>
      <c r="G46" s="548"/>
      <c r="H46" s="547"/>
      <c r="I46" s="111"/>
      <c r="K46" s="119"/>
      <c r="M46" s="545"/>
      <c r="N46" s="546"/>
      <c r="O46" s="547"/>
      <c r="P46" s="548"/>
      <c r="Q46" s="547"/>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147</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73</v>
      </c>
      <c r="E13" s="465" t="s">
        <v>72</v>
      </c>
      <c r="F13" s="437" t="s">
        <v>114</v>
      </c>
      <c r="G13" s="438" t="s">
        <v>62</v>
      </c>
      <c r="H13" s="466" t="s">
        <v>115</v>
      </c>
      <c r="K13" s="119"/>
      <c r="M13" s="201"/>
      <c r="N13" s="204"/>
      <c r="O13" s="202"/>
      <c r="P13" s="434"/>
      <c r="Q13" s="434"/>
    </row>
    <row r="14" spans="1:17" ht="13.5" customHeight="1">
      <c r="A14" s="114"/>
      <c r="B14" s="13"/>
      <c r="C14" s="12"/>
      <c r="D14" s="508" t="s">
        <v>626</v>
      </c>
      <c r="E14" s="509">
        <f>VLOOKUP(CONCATENATE("payment_",D14),Assets_Daten,3,0)</f>
        <v>918700779.64000082</v>
      </c>
      <c r="F14" s="510">
        <f>E14/$E$16</f>
        <v>0.97309043629142089</v>
      </c>
      <c r="G14" s="511">
        <f>VLOOKUP(CONCATENATE("payment_",D14),Assets_Daten,2,0)</f>
        <v>49805</v>
      </c>
      <c r="H14" s="512">
        <f>G14/$G$16</f>
        <v>0.97745024924441648</v>
      </c>
      <c r="K14" s="119"/>
      <c r="M14" s="513"/>
      <c r="N14" s="514"/>
      <c r="O14" s="515"/>
      <c r="P14" s="516"/>
      <c r="Q14" s="515"/>
    </row>
    <row r="15" spans="1:17" ht="13" thickBot="1">
      <c r="A15" s="114"/>
      <c r="B15" s="13"/>
      <c r="C15" s="12"/>
      <c r="D15" s="517" t="s">
        <v>627</v>
      </c>
      <c r="E15" s="518">
        <f>VLOOKUP(CONCATENATE("payment_",D15),Assets_Daten,3,0)</f>
        <v>25405487.750000011</v>
      </c>
      <c r="F15" s="510">
        <f>E15/$E$16</f>
        <v>2.6909563708579068E-2</v>
      </c>
      <c r="G15" s="519">
        <f>VLOOKUP(CONCATENATE("payment_",D15),Assets_Daten,2,0)</f>
        <v>1149</v>
      </c>
      <c r="H15" s="520">
        <f>G15/$G$16</f>
        <v>2.2549750755583468E-2</v>
      </c>
      <c r="K15" s="119"/>
      <c r="M15" s="513"/>
      <c r="N15" s="514"/>
      <c r="O15" s="515"/>
      <c r="P15" s="516"/>
      <c r="Q15" s="515"/>
    </row>
    <row r="16" spans="1:17" ht="14" thickTop="1" thickBot="1">
      <c r="A16" s="114"/>
      <c r="B16" s="13"/>
      <c r="C16" s="12"/>
      <c r="D16" s="521" t="s">
        <v>36</v>
      </c>
      <c r="E16" s="777">
        <f>SUM(E14:E15)</f>
        <v>944106267.39000082</v>
      </c>
      <c r="F16" s="783">
        <f t="shared" ref="F16:H16" si="0">SUM(F14:F15)</f>
        <v>1</v>
      </c>
      <c r="G16" s="779">
        <f t="shared" si="0"/>
        <v>50954</v>
      </c>
      <c r="H16" s="784">
        <f t="shared" si="0"/>
        <v>1</v>
      </c>
      <c r="K16" s="119"/>
      <c r="M16" s="522"/>
      <c r="N16" s="523"/>
      <c r="O16" s="524"/>
      <c r="P16" s="525"/>
      <c r="Q16" s="524"/>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36" t="s">
        <v>74</v>
      </c>
      <c r="E20" s="465" t="s">
        <v>72</v>
      </c>
      <c r="F20" s="437" t="s">
        <v>114</v>
      </c>
      <c r="G20" s="438" t="s">
        <v>62</v>
      </c>
      <c r="H20" s="466" t="s">
        <v>115</v>
      </c>
      <c r="I20" s="494"/>
      <c r="K20" s="119"/>
      <c r="M20" s="201"/>
      <c r="N20" s="204"/>
      <c r="O20" s="202"/>
      <c r="P20" s="434"/>
      <c r="Q20" s="434"/>
    </row>
    <row r="21" spans="1:17" ht="13.5" customHeight="1">
      <c r="A21" s="114"/>
      <c r="B21" s="13"/>
      <c r="C21" s="12"/>
      <c r="D21" s="106" t="s">
        <v>628</v>
      </c>
      <c r="E21" s="509">
        <f>VLOOKUP(CONCATENATE("payment_",D21),Assets_Daten,3,0)</f>
        <v>201370216.33000034</v>
      </c>
      <c r="F21" s="510">
        <f>E21/$E$23</f>
        <v>0.21329189656445319</v>
      </c>
      <c r="G21" s="511">
        <f>VLOOKUP(CONCATENATE("payment_",D21),Assets_Daten,2,0)</f>
        <v>10051</v>
      </c>
      <c r="H21" s="512">
        <f>G21/$G$23</f>
        <v>0.19725634886368096</v>
      </c>
      <c r="K21" s="119"/>
      <c r="M21" s="513"/>
      <c r="N21" s="514"/>
      <c r="O21" s="515"/>
      <c r="P21" s="516"/>
      <c r="Q21" s="515"/>
    </row>
    <row r="22" spans="1:17" ht="13.5" customHeight="1" thickBot="1">
      <c r="A22" s="114"/>
      <c r="B22" s="13"/>
      <c r="C22" s="12"/>
      <c r="D22" s="526" t="s">
        <v>629</v>
      </c>
      <c r="E22" s="518">
        <f>VLOOKUP(CONCATENATE("payment_",D22),Assets_Daten,3,0)</f>
        <v>742736051.06000185</v>
      </c>
      <c r="F22" s="527">
        <f>E22/$E$23</f>
        <v>0.78670810343554676</v>
      </c>
      <c r="G22" s="519">
        <f>VLOOKUP(CONCATENATE("payment_",D22),Assets_Daten,2,0)</f>
        <v>40903</v>
      </c>
      <c r="H22" s="528">
        <f>G22/$G$23</f>
        <v>0.80274365113631907</v>
      </c>
      <c r="I22" s="496"/>
      <c r="K22" s="119"/>
      <c r="M22" s="513"/>
      <c r="N22" s="514"/>
      <c r="O22" s="515"/>
      <c r="P22" s="516"/>
      <c r="Q22" s="515"/>
    </row>
    <row r="23" spans="1:17" ht="14" thickTop="1" thickBot="1">
      <c r="A23" s="114"/>
      <c r="B23" s="13"/>
      <c r="C23" s="12"/>
      <c r="D23" s="529" t="s">
        <v>36</v>
      </c>
      <c r="E23" s="777">
        <f>SUM(E21:E22)</f>
        <v>944106267.39000225</v>
      </c>
      <c r="F23" s="783">
        <f t="shared" ref="F23:H23" si="1">SUM(F21:F22)</f>
        <v>1</v>
      </c>
      <c r="G23" s="779">
        <f t="shared" si="1"/>
        <v>50954</v>
      </c>
      <c r="H23" s="784">
        <f t="shared" si="1"/>
        <v>1</v>
      </c>
      <c r="K23" s="119"/>
      <c r="M23" s="522"/>
      <c r="N23" s="523"/>
      <c r="O23" s="524"/>
      <c r="P23" s="525"/>
      <c r="Q23" s="524"/>
    </row>
    <row r="24" spans="1:17" ht="13">
      <c r="A24" s="114"/>
      <c r="B24" s="13"/>
      <c r="C24" s="12"/>
      <c r="D24" s="522"/>
      <c r="E24" s="523"/>
      <c r="F24" s="530"/>
      <c r="G24" s="525"/>
      <c r="H24" s="530"/>
      <c r="K24" s="119"/>
      <c r="M24" s="522"/>
      <c r="N24" s="523"/>
      <c r="O24" s="524"/>
      <c r="P24" s="525"/>
      <c r="Q24" s="524"/>
    </row>
    <row r="25" spans="1:17" ht="13">
      <c r="A25" s="114"/>
      <c r="B25" s="13"/>
      <c r="C25" s="12"/>
      <c r="D25" s="522"/>
      <c r="E25" s="523"/>
      <c r="F25" s="530"/>
      <c r="G25" s="525"/>
      <c r="H25" s="530"/>
      <c r="K25" s="119"/>
      <c r="M25" s="522"/>
      <c r="N25" s="523"/>
      <c r="O25" s="524"/>
      <c r="P25" s="525"/>
      <c r="Q25" s="524"/>
    </row>
    <row r="26" spans="1:17" ht="13">
      <c r="A26" s="114"/>
      <c r="B26" s="13"/>
      <c r="C26" s="12"/>
      <c r="D26" s="522"/>
      <c r="E26" s="523"/>
      <c r="F26" s="530"/>
      <c r="G26" s="525"/>
      <c r="H26" s="530"/>
      <c r="K26" s="119"/>
      <c r="M26" s="522"/>
      <c r="N26" s="523"/>
      <c r="O26" s="524"/>
      <c r="P26" s="525"/>
      <c r="Q26" s="524"/>
    </row>
    <row r="27" spans="1:17" ht="13">
      <c r="A27" s="114"/>
      <c r="B27" s="13"/>
      <c r="C27" s="12"/>
      <c r="D27" s="522"/>
      <c r="E27" s="523"/>
      <c r="F27" s="530"/>
      <c r="G27" s="525"/>
      <c r="H27" s="530"/>
      <c r="K27" s="119"/>
      <c r="M27" s="522"/>
      <c r="N27" s="523"/>
      <c r="O27" s="524"/>
      <c r="P27" s="525"/>
      <c r="Q27" s="524"/>
    </row>
    <row r="28" spans="1:17" ht="13">
      <c r="A28" s="114"/>
      <c r="B28" s="13"/>
      <c r="C28" s="12"/>
      <c r="D28" s="522"/>
      <c r="E28" s="523"/>
      <c r="F28" s="530"/>
      <c r="G28" s="525"/>
      <c r="H28" s="530"/>
      <c r="K28" s="119"/>
      <c r="M28" s="522"/>
      <c r="N28" s="523"/>
      <c r="O28" s="524"/>
      <c r="P28" s="525"/>
      <c r="Q28" s="524"/>
    </row>
    <row r="29" spans="1:17" ht="13">
      <c r="A29" s="114"/>
      <c r="B29" s="13"/>
      <c r="C29" s="12"/>
      <c r="D29" s="522"/>
      <c r="E29" s="523"/>
      <c r="F29" s="530"/>
      <c r="G29" s="525"/>
      <c r="H29" s="530"/>
      <c r="K29" s="119"/>
      <c r="M29" s="522"/>
      <c r="N29" s="523"/>
      <c r="O29" s="524"/>
      <c r="P29" s="525"/>
      <c r="Q29" s="524"/>
    </row>
    <row r="30" spans="1:17" ht="13">
      <c r="A30" s="114"/>
      <c r="B30" s="13"/>
      <c r="C30" s="12"/>
      <c r="D30" s="522"/>
      <c r="E30" s="523"/>
      <c r="F30" s="530"/>
      <c r="G30" s="525"/>
      <c r="H30" s="530"/>
      <c r="K30" s="119"/>
      <c r="M30" s="522"/>
      <c r="N30" s="523"/>
      <c r="O30" s="524"/>
      <c r="P30" s="525"/>
      <c r="Q30" s="524"/>
    </row>
    <row r="31" spans="1:17" ht="13">
      <c r="A31" s="114"/>
      <c r="B31" s="13"/>
      <c r="C31" s="12"/>
      <c r="D31" s="522"/>
      <c r="E31" s="523"/>
      <c r="F31" s="530"/>
      <c r="G31" s="525"/>
      <c r="H31" s="530"/>
      <c r="K31" s="119"/>
      <c r="M31" s="522"/>
      <c r="N31" s="523"/>
      <c r="O31" s="524"/>
      <c r="P31" s="525"/>
      <c r="Q31" s="524"/>
    </row>
    <row r="32" spans="1:17" ht="13">
      <c r="A32" s="114"/>
      <c r="B32" s="13"/>
      <c r="C32" s="12"/>
      <c r="D32" s="522"/>
      <c r="E32" s="523"/>
      <c r="F32" s="530"/>
      <c r="G32" s="525"/>
      <c r="H32" s="530"/>
      <c r="K32" s="119"/>
      <c r="M32" s="522"/>
      <c r="N32" s="523"/>
      <c r="O32" s="524"/>
      <c r="P32" s="525"/>
      <c r="Q32" s="524"/>
    </row>
    <row r="33" spans="1:17" ht="13">
      <c r="A33" s="114"/>
      <c r="B33" s="13"/>
      <c r="C33" s="12"/>
      <c r="D33" s="522"/>
      <c r="E33" s="523"/>
      <c r="F33" s="530"/>
      <c r="G33" s="525"/>
      <c r="H33" s="530"/>
      <c r="K33" s="119"/>
      <c r="M33" s="522"/>
      <c r="N33" s="523"/>
      <c r="O33" s="524"/>
      <c r="P33" s="525"/>
      <c r="Q33" s="524"/>
    </row>
    <row r="34" spans="1:17" ht="13">
      <c r="A34" s="114"/>
      <c r="B34" s="13"/>
      <c r="C34" s="12"/>
      <c r="D34" s="522"/>
      <c r="E34" s="523"/>
      <c r="F34" s="530"/>
      <c r="G34" s="525"/>
      <c r="H34" s="530"/>
      <c r="K34" s="119"/>
      <c r="M34" s="522"/>
      <c r="N34" s="523"/>
      <c r="O34" s="524"/>
      <c r="P34" s="525"/>
      <c r="Q34" s="524"/>
    </row>
    <row r="35" spans="1:17" ht="13">
      <c r="A35" s="114"/>
      <c r="B35" s="13"/>
      <c r="C35" s="12"/>
      <c r="D35" s="522"/>
      <c r="E35" s="523"/>
      <c r="F35" s="530"/>
      <c r="G35" s="525"/>
      <c r="H35" s="530"/>
      <c r="K35" s="119"/>
      <c r="M35" s="522"/>
      <c r="N35" s="523"/>
      <c r="O35" s="524"/>
      <c r="P35" s="525"/>
      <c r="Q35" s="524"/>
    </row>
    <row r="36" spans="1:17" ht="13">
      <c r="A36" s="114"/>
      <c r="B36" s="13"/>
      <c r="C36" s="12"/>
      <c r="D36" s="522"/>
      <c r="E36" s="523"/>
      <c r="F36" s="530"/>
      <c r="G36" s="525"/>
      <c r="H36" s="530"/>
      <c r="K36" s="119"/>
      <c r="M36" s="522"/>
      <c r="N36" s="523"/>
      <c r="O36" s="524"/>
      <c r="P36" s="525"/>
      <c r="Q36" s="524"/>
    </row>
    <row r="37" spans="1:17" ht="13">
      <c r="A37" s="114"/>
      <c r="B37" s="13"/>
      <c r="C37" s="12"/>
      <c r="D37" s="522"/>
      <c r="E37" s="523"/>
      <c r="F37" s="530"/>
      <c r="G37" s="525"/>
      <c r="H37" s="530"/>
      <c r="K37" s="119"/>
      <c r="M37" s="522"/>
      <c r="N37" s="523"/>
      <c r="O37" s="524"/>
      <c r="P37" s="525"/>
      <c r="Q37" s="524"/>
    </row>
    <row r="38" spans="1:17" ht="13">
      <c r="A38" s="114"/>
      <c r="B38" s="13"/>
      <c r="C38" s="12"/>
      <c r="D38" s="522"/>
      <c r="E38" s="523"/>
      <c r="F38" s="530"/>
      <c r="G38" s="525"/>
      <c r="H38" s="530"/>
      <c r="K38" s="119"/>
      <c r="M38" s="522"/>
      <c r="N38" s="523"/>
      <c r="O38" s="524"/>
      <c r="P38" s="525"/>
      <c r="Q38" s="524"/>
    </row>
    <row r="39" spans="1:17" ht="13">
      <c r="A39" s="114"/>
      <c r="B39" s="13"/>
      <c r="C39" s="12"/>
      <c r="D39" s="522"/>
      <c r="E39" s="531"/>
      <c r="F39" s="531"/>
      <c r="G39" s="32"/>
      <c r="H39" s="32"/>
      <c r="K39" s="119"/>
      <c r="M39" s="522"/>
      <c r="N39" s="531"/>
      <c r="O39" s="531"/>
      <c r="P39" s="32"/>
      <c r="Q39" s="32"/>
    </row>
    <row r="40" spans="1:17" ht="13">
      <c r="A40" s="114"/>
      <c r="B40" s="13"/>
      <c r="C40" s="12"/>
      <c r="D40" s="522"/>
      <c r="E40" s="531"/>
      <c r="F40" s="531"/>
      <c r="G40" s="32"/>
      <c r="H40" s="32"/>
      <c r="K40" s="119"/>
      <c r="M40" s="522"/>
      <c r="N40" s="531"/>
      <c r="O40" s="531"/>
      <c r="P40" s="32"/>
      <c r="Q40" s="32"/>
    </row>
    <row r="41" spans="1:17" ht="13">
      <c r="A41" s="114"/>
      <c r="B41" s="13"/>
      <c r="C41" s="12"/>
      <c r="D41" s="522"/>
      <c r="E41" s="531"/>
      <c r="F41" s="531"/>
      <c r="G41" s="32"/>
      <c r="H41" s="32"/>
      <c r="K41" s="119"/>
      <c r="M41" s="522"/>
      <c r="N41" s="531"/>
      <c r="O41" s="531"/>
      <c r="P41" s="32"/>
      <c r="Q41" s="32"/>
    </row>
    <row r="42" spans="1:17" ht="13">
      <c r="A42" s="114"/>
      <c r="B42" s="13"/>
      <c r="C42" s="12"/>
      <c r="D42" s="522"/>
      <c r="E42" s="531"/>
      <c r="F42" s="531"/>
      <c r="G42" s="32"/>
      <c r="H42" s="32"/>
      <c r="K42" s="119"/>
      <c r="M42" s="522"/>
      <c r="N42" s="531"/>
      <c r="O42" s="531"/>
      <c r="P42" s="32"/>
      <c r="Q42" s="32"/>
    </row>
    <row r="43" spans="1:17" ht="13">
      <c r="A43" s="114"/>
      <c r="B43" s="13"/>
      <c r="C43" s="12"/>
      <c r="D43" s="522"/>
      <c r="E43" s="531"/>
      <c r="F43" s="531"/>
      <c r="G43" s="32"/>
      <c r="H43" s="32"/>
      <c r="K43" s="119"/>
      <c r="M43" s="522"/>
      <c r="N43" s="531"/>
      <c r="O43" s="531"/>
      <c r="P43" s="32"/>
      <c r="Q43" s="32"/>
    </row>
    <row r="44" spans="1:17" ht="13">
      <c r="A44" s="114"/>
      <c r="B44" s="13"/>
      <c r="C44" s="12"/>
      <c r="D44" s="522"/>
      <c r="E44" s="531"/>
      <c r="F44" s="531"/>
      <c r="G44" s="32"/>
      <c r="H44" s="32"/>
      <c r="K44" s="119"/>
      <c r="M44" s="522"/>
      <c r="N44" s="531"/>
      <c r="O44" s="531"/>
      <c r="P44" s="32"/>
      <c r="Q44" s="32"/>
    </row>
    <row r="45" spans="1:17" ht="13">
      <c r="A45" s="114"/>
      <c r="B45" s="13"/>
      <c r="C45" s="12"/>
      <c r="D45" s="522"/>
      <c r="E45" s="531"/>
      <c r="F45" s="531"/>
      <c r="G45" s="32"/>
      <c r="H45" s="32"/>
      <c r="K45" s="119"/>
      <c r="M45" s="522"/>
      <c r="N45" s="531"/>
      <c r="O45" s="531"/>
      <c r="P45" s="32"/>
      <c r="Q45" s="32"/>
    </row>
    <row r="46" spans="1:17" ht="13">
      <c r="A46" s="114"/>
      <c r="B46" s="13"/>
      <c r="C46" s="12"/>
      <c r="D46" s="522"/>
      <c r="E46" s="531"/>
      <c r="F46" s="531"/>
      <c r="G46" s="32"/>
      <c r="H46" s="32"/>
      <c r="K46" s="119"/>
      <c r="M46" s="522"/>
      <c r="N46" s="531"/>
      <c r="O46" s="531"/>
      <c r="P46" s="32"/>
      <c r="Q46" s="32"/>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30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201</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532</v>
      </c>
      <c r="E13" s="465" t="s">
        <v>72</v>
      </c>
      <c r="F13" s="437" t="s">
        <v>114</v>
      </c>
      <c r="G13" s="438" t="s">
        <v>62</v>
      </c>
      <c r="H13" s="466" t="s">
        <v>115</v>
      </c>
      <c r="K13" s="119"/>
      <c r="M13" s="201"/>
      <c r="N13" s="204"/>
      <c r="O13" s="202"/>
      <c r="P13" s="434"/>
      <c r="Q13" s="434"/>
    </row>
    <row r="14" spans="1:17">
      <c r="A14" s="114"/>
      <c r="B14" s="13"/>
      <c r="C14" s="12"/>
      <c r="D14" s="485" t="s">
        <v>630</v>
      </c>
      <c r="E14" s="486">
        <f t="shared" ref="E14:E27" si="0">VLOOKUP(CONCATENATE("interest_",D14),Assets_Daten,3,0)</f>
        <v>98239.67</v>
      </c>
      <c r="F14" s="487">
        <f>E14/$E$28</f>
        <v>1.0405573333559744E-4</v>
      </c>
      <c r="G14" s="488">
        <f t="shared" ref="G14:G27" si="1">VLOOKUP(CONCATENATE("interest_",D14),Assets_Daten,2,0)</f>
        <v>25</v>
      </c>
      <c r="H14" s="489">
        <f>G14/$G$28</f>
        <v>4.9063861522157242E-4</v>
      </c>
      <c r="K14" s="119"/>
      <c r="M14" s="490"/>
      <c r="N14" s="491"/>
      <c r="O14" s="492"/>
      <c r="P14" s="493"/>
      <c r="Q14" s="492"/>
    </row>
    <row r="15" spans="1:17">
      <c r="A15" s="114"/>
      <c r="B15" s="13"/>
      <c r="C15" s="12"/>
      <c r="D15" s="485" t="s">
        <v>631</v>
      </c>
      <c r="E15" s="486">
        <f t="shared" si="0"/>
        <v>169919.51999999996</v>
      </c>
      <c r="F15" s="487">
        <f t="shared" ref="F15:F27" si="2">E15/$E$28</f>
        <v>1.7997923101362932E-4</v>
      </c>
      <c r="G15" s="488">
        <f t="shared" si="1"/>
        <v>15</v>
      </c>
      <c r="H15" s="489">
        <f t="shared" ref="H15:H27" si="3">G15/$G$28</f>
        <v>2.9438316913294344E-4</v>
      </c>
      <c r="K15" s="119"/>
      <c r="M15" s="490"/>
      <c r="N15" s="491"/>
      <c r="O15" s="492"/>
      <c r="P15" s="493"/>
      <c r="Q15" s="492"/>
    </row>
    <row r="16" spans="1:17">
      <c r="A16" s="114"/>
      <c r="B16" s="13"/>
      <c r="C16" s="12"/>
      <c r="D16" s="485" t="s">
        <v>632</v>
      </c>
      <c r="E16" s="486">
        <f t="shared" si="0"/>
        <v>2444305.5599999996</v>
      </c>
      <c r="F16" s="487">
        <f t="shared" si="2"/>
        <v>2.5890152882443325E-3</v>
      </c>
      <c r="G16" s="488">
        <f t="shared" si="1"/>
        <v>165</v>
      </c>
      <c r="H16" s="489">
        <f t="shared" si="3"/>
        <v>3.2382148604623777E-3</v>
      </c>
      <c r="K16" s="119"/>
      <c r="M16" s="490"/>
      <c r="N16" s="491"/>
      <c r="O16" s="492"/>
      <c r="P16" s="493"/>
      <c r="Q16" s="492"/>
    </row>
    <row r="17" spans="1:17">
      <c r="A17" s="114"/>
      <c r="B17" s="13"/>
      <c r="C17" s="12"/>
      <c r="D17" s="485" t="s">
        <v>633</v>
      </c>
      <c r="E17" s="486">
        <f t="shared" si="0"/>
        <v>1877548.7599999993</v>
      </c>
      <c r="F17" s="487">
        <f t="shared" si="2"/>
        <v>1.9887048999161086E-3</v>
      </c>
      <c r="G17" s="488">
        <f t="shared" si="1"/>
        <v>126</v>
      </c>
      <c r="H17" s="489">
        <f t="shared" si="3"/>
        <v>2.4728186207167249E-3</v>
      </c>
      <c r="K17" s="119"/>
      <c r="M17" s="490"/>
      <c r="N17" s="491"/>
      <c r="O17" s="492"/>
      <c r="P17" s="493"/>
      <c r="Q17" s="492"/>
    </row>
    <row r="18" spans="1:17">
      <c r="A18" s="114"/>
      <c r="B18" s="13"/>
      <c r="C18" s="12"/>
      <c r="D18" s="485" t="s">
        <v>634</v>
      </c>
      <c r="E18" s="486">
        <f t="shared" si="0"/>
        <v>8088629.0000000037</v>
      </c>
      <c r="F18" s="487">
        <f t="shared" si="2"/>
        <v>8.5674984685370024E-3</v>
      </c>
      <c r="G18" s="488">
        <f t="shared" si="1"/>
        <v>439</v>
      </c>
      <c r="H18" s="489">
        <f t="shared" si="3"/>
        <v>8.6156140832908106E-3</v>
      </c>
      <c r="K18" s="119"/>
      <c r="M18" s="490"/>
      <c r="N18" s="491"/>
      <c r="O18" s="492"/>
      <c r="P18" s="493"/>
      <c r="Q18" s="492"/>
    </row>
    <row r="19" spans="1:17">
      <c r="A19" s="114"/>
      <c r="B19" s="13"/>
      <c r="C19" s="12"/>
      <c r="D19" s="485" t="s">
        <v>635</v>
      </c>
      <c r="E19" s="486">
        <f t="shared" si="0"/>
        <v>32375475.570000011</v>
      </c>
      <c r="F19" s="487">
        <f t="shared" si="2"/>
        <v>3.4292194309336242E-2</v>
      </c>
      <c r="G19" s="488">
        <f t="shared" si="1"/>
        <v>1319</v>
      </c>
      <c r="H19" s="489">
        <f t="shared" si="3"/>
        <v>2.5886093339090161E-2</v>
      </c>
      <c r="K19" s="119"/>
      <c r="M19" s="490"/>
      <c r="N19" s="491"/>
      <c r="O19" s="492"/>
      <c r="P19" s="493"/>
      <c r="Q19" s="492"/>
    </row>
    <row r="20" spans="1:17">
      <c r="A20" s="114"/>
      <c r="B20" s="13"/>
      <c r="C20" s="12"/>
      <c r="D20" s="485" t="s">
        <v>636</v>
      </c>
      <c r="E20" s="486">
        <f t="shared" si="0"/>
        <v>74610175.509999752</v>
      </c>
      <c r="F20" s="487">
        <f t="shared" si="2"/>
        <v>7.9027306657184992E-2</v>
      </c>
      <c r="G20" s="488">
        <f t="shared" si="1"/>
        <v>3343</v>
      </c>
      <c r="H20" s="489">
        <f t="shared" si="3"/>
        <v>6.5608195627428659E-2</v>
      </c>
      <c r="K20" s="119"/>
      <c r="M20" s="490"/>
      <c r="N20" s="491"/>
      <c r="O20" s="492"/>
      <c r="P20" s="493"/>
      <c r="Q20" s="492"/>
    </row>
    <row r="21" spans="1:17">
      <c r="A21" s="114"/>
      <c r="B21" s="13"/>
      <c r="C21" s="12"/>
      <c r="D21" s="105" t="s">
        <v>637</v>
      </c>
      <c r="E21" s="486">
        <f t="shared" si="0"/>
        <v>160177043.57999942</v>
      </c>
      <c r="F21" s="487">
        <f t="shared" si="2"/>
        <v>0.16965997273041317</v>
      </c>
      <c r="G21" s="488">
        <f t="shared" si="1"/>
        <v>6049</v>
      </c>
      <c r="H21" s="489">
        <f t="shared" si="3"/>
        <v>0.11871491933901165</v>
      </c>
      <c r="I21" s="494"/>
      <c r="K21" s="119"/>
      <c r="M21" s="490"/>
      <c r="N21" s="491"/>
      <c r="O21" s="492"/>
      <c r="P21" s="493"/>
      <c r="Q21" s="492"/>
    </row>
    <row r="22" spans="1:17">
      <c r="A22" s="114"/>
      <c r="B22" s="13"/>
      <c r="C22" s="12"/>
      <c r="D22" s="485" t="s">
        <v>638</v>
      </c>
      <c r="E22" s="486">
        <f t="shared" si="0"/>
        <v>232127679.74999961</v>
      </c>
      <c r="F22" s="487">
        <f t="shared" si="2"/>
        <v>0.24587028787736076</v>
      </c>
      <c r="G22" s="488">
        <f t="shared" si="1"/>
        <v>11505</v>
      </c>
      <c r="H22" s="489">
        <f t="shared" si="3"/>
        <v>0.22579189072496761</v>
      </c>
      <c r="K22" s="119"/>
      <c r="M22" s="490"/>
      <c r="N22" s="491"/>
      <c r="O22" s="492"/>
      <c r="P22" s="493"/>
      <c r="Q22" s="492"/>
    </row>
    <row r="23" spans="1:17">
      <c r="A23" s="114"/>
      <c r="B23" s="13"/>
      <c r="C23" s="12"/>
      <c r="D23" s="485" t="s">
        <v>639</v>
      </c>
      <c r="E23" s="486">
        <f t="shared" si="0"/>
        <v>242694556.20000023</v>
      </c>
      <c r="F23" s="487">
        <f t="shared" si="2"/>
        <v>0.25706275297899911</v>
      </c>
      <c r="G23" s="488">
        <f t="shared" si="1"/>
        <v>13763</v>
      </c>
      <c r="H23" s="489">
        <f t="shared" si="3"/>
        <v>0.27010637045178004</v>
      </c>
      <c r="K23" s="119"/>
      <c r="M23" s="490"/>
      <c r="N23" s="491"/>
      <c r="O23" s="492"/>
      <c r="P23" s="493"/>
      <c r="Q23" s="492"/>
    </row>
    <row r="24" spans="1:17" ht="12.75" customHeight="1">
      <c r="A24" s="114"/>
      <c r="B24" s="13"/>
      <c r="C24" s="12"/>
      <c r="D24" s="495" t="s">
        <v>640</v>
      </c>
      <c r="E24" s="486">
        <f t="shared" si="0"/>
        <v>102087665.69000027</v>
      </c>
      <c r="F24" s="487">
        <f t="shared" si="2"/>
        <v>0.10813154113702018</v>
      </c>
      <c r="G24" s="488">
        <f t="shared" si="1"/>
        <v>7083</v>
      </c>
      <c r="H24" s="489">
        <f t="shared" si="3"/>
        <v>0.1390077324645759</v>
      </c>
      <c r="I24" s="496"/>
      <c r="K24" s="119"/>
      <c r="M24" s="497"/>
      <c r="N24" s="491"/>
      <c r="O24" s="492"/>
      <c r="P24" s="493"/>
      <c r="Q24" s="492"/>
    </row>
    <row r="25" spans="1:17">
      <c r="A25" s="114"/>
      <c r="B25" s="13"/>
      <c r="C25" s="12"/>
      <c r="D25" s="495" t="s">
        <v>641</v>
      </c>
      <c r="E25" s="486">
        <f t="shared" si="0"/>
        <v>60164032.850000016</v>
      </c>
      <c r="F25" s="487">
        <f t="shared" si="2"/>
        <v>6.3725911931847137E-2</v>
      </c>
      <c r="G25" s="488">
        <f t="shared" si="1"/>
        <v>4427</v>
      </c>
      <c r="H25" s="489">
        <f t="shared" si="3"/>
        <v>8.6882285983436044E-2</v>
      </c>
      <c r="K25" s="119"/>
      <c r="M25" s="497"/>
      <c r="N25" s="491"/>
      <c r="O25" s="492"/>
      <c r="P25" s="493"/>
      <c r="Q25" s="492"/>
    </row>
    <row r="26" spans="1:17">
      <c r="A26" s="114"/>
      <c r="B26" s="13"/>
      <c r="C26" s="12"/>
      <c r="D26" s="495" t="s">
        <v>642</v>
      </c>
      <c r="E26" s="486">
        <f t="shared" si="0"/>
        <v>17908103.829999972</v>
      </c>
      <c r="F26" s="487">
        <f t="shared" si="2"/>
        <v>1.8968313683063759E-2</v>
      </c>
      <c r="G26" s="488">
        <f t="shared" si="1"/>
        <v>1614</v>
      </c>
      <c r="H26" s="489">
        <f t="shared" si="3"/>
        <v>3.1675628998704713E-2</v>
      </c>
      <c r="K26" s="119"/>
      <c r="M26" s="497"/>
      <c r="N26" s="491"/>
      <c r="O26" s="492"/>
      <c r="P26" s="493"/>
      <c r="Q26" s="492"/>
    </row>
    <row r="27" spans="1:17" ht="13" thickBot="1">
      <c r="A27" s="114"/>
      <c r="B27" s="13"/>
      <c r="C27" s="12"/>
      <c r="D27" s="495" t="s">
        <v>643</v>
      </c>
      <c r="E27" s="486">
        <f t="shared" si="0"/>
        <v>9282891.9000000041</v>
      </c>
      <c r="F27" s="487">
        <f t="shared" si="2"/>
        <v>9.8324650737281367E-3</v>
      </c>
      <c r="G27" s="488">
        <f t="shared" si="1"/>
        <v>1081</v>
      </c>
      <c r="H27" s="489">
        <f t="shared" si="3"/>
        <v>2.1215213722180791E-2</v>
      </c>
      <c r="K27" s="119"/>
      <c r="M27" s="497"/>
      <c r="N27" s="491"/>
      <c r="O27" s="492"/>
      <c r="P27" s="493"/>
      <c r="Q27" s="492"/>
    </row>
    <row r="28" spans="1:17" ht="14" thickTop="1" thickBot="1">
      <c r="A28" s="114"/>
      <c r="B28" s="13"/>
      <c r="C28" s="12"/>
      <c r="D28" s="460" t="s">
        <v>36</v>
      </c>
      <c r="E28" s="477">
        <f>SUM(E14:E27)</f>
        <v>944106267.38999915</v>
      </c>
      <c r="F28" s="781">
        <f>SUM(F14:F27)</f>
        <v>1</v>
      </c>
      <c r="G28" s="498">
        <f>SUM(G14:G27)</f>
        <v>50954</v>
      </c>
      <c r="H28" s="782">
        <f>SUM(H14:H27)</f>
        <v>1</v>
      </c>
      <c r="K28" s="119"/>
      <c r="M28" s="32"/>
      <c r="N28" s="431"/>
      <c r="O28" s="499"/>
      <c r="P28" s="500"/>
      <c r="Q28" s="499"/>
    </row>
    <row r="29" spans="1:17">
      <c r="A29" s="114"/>
      <c r="B29" s="13"/>
      <c r="C29" s="12"/>
      <c r="E29" s="197"/>
      <c r="J29" s="111"/>
      <c r="K29" s="119"/>
      <c r="N29" s="197"/>
    </row>
    <row r="30" spans="1:17">
      <c r="A30" s="114"/>
      <c r="B30" s="13"/>
      <c r="C30" s="12"/>
      <c r="E30" s="220"/>
      <c r="G30" s="501"/>
      <c r="J30" s="111"/>
      <c r="K30" s="119"/>
      <c r="N30" s="220"/>
      <c r="P30" s="501"/>
    </row>
    <row r="31" spans="1:17" ht="13.5" thickBot="1">
      <c r="A31" s="114"/>
      <c r="B31" s="13"/>
      <c r="C31" s="12"/>
      <c r="D31" s="144" t="s">
        <v>70</v>
      </c>
      <c r="E31" s="144" t="s">
        <v>8</v>
      </c>
      <c r="J31" s="111"/>
      <c r="K31" s="119"/>
      <c r="M31" s="144"/>
      <c r="N31" s="144"/>
    </row>
    <row r="32" spans="1:17" ht="13" thickBot="1">
      <c r="A32" s="114"/>
      <c r="B32" s="13"/>
      <c r="C32" s="12"/>
      <c r="D32" s="448" t="s">
        <v>65</v>
      </c>
      <c r="E32" s="769">
        <f>VLOOKUP(CONCATENATE("interest_",D32),Assets_Daten,3,0)</f>
        <v>9.0358145999252834E-2</v>
      </c>
      <c r="G32" s="502"/>
      <c r="H32" s="502"/>
      <c r="J32" s="111"/>
      <c r="K32" s="119"/>
      <c r="M32" s="503"/>
      <c r="N32" s="504"/>
      <c r="P32" s="502"/>
      <c r="Q32" s="502"/>
    </row>
    <row r="33" spans="1:17">
      <c r="A33" s="114"/>
      <c r="B33" s="13"/>
      <c r="C33" s="12"/>
      <c r="D33" s="505"/>
      <c r="E33" s="504"/>
      <c r="G33" s="506"/>
      <c r="H33" s="506"/>
      <c r="J33" s="111"/>
      <c r="K33" s="119"/>
      <c r="M33" s="505"/>
      <c r="N33" s="504"/>
      <c r="P33" s="506"/>
      <c r="Q33" s="506"/>
    </row>
    <row r="34" spans="1:17" ht="14.5">
      <c r="A34" s="114"/>
      <c r="B34" s="13"/>
      <c r="C34" s="12"/>
      <c r="D34" s="484" t="s">
        <v>531</v>
      </c>
      <c r="E34" s="504"/>
      <c r="J34" s="111"/>
      <c r="K34" s="119"/>
      <c r="M34" s="99"/>
      <c r="N34" s="504"/>
    </row>
    <row r="35" spans="1:17">
      <c r="A35" s="114"/>
      <c r="B35" s="13"/>
      <c r="C35" s="12"/>
      <c r="D35" s="99"/>
      <c r="E35" s="504"/>
      <c r="J35" s="111"/>
      <c r="K35" s="119"/>
      <c r="M35" s="99"/>
      <c r="N35" s="504"/>
    </row>
    <row r="36" spans="1:17">
      <c r="A36" s="114"/>
      <c r="B36" s="13"/>
      <c r="C36" s="12"/>
      <c r="D36" s="99"/>
      <c r="E36" s="504"/>
      <c r="J36" s="111"/>
      <c r="K36" s="119"/>
      <c r="M36" s="99"/>
      <c r="N36" s="504"/>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4"/>
      <c r="H40" s="434"/>
      <c r="I40" s="111"/>
      <c r="K40" s="119"/>
      <c r="M40" s="201"/>
      <c r="N40" s="204"/>
      <c r="O40" s="202"/>
      <c r="P40" s="434"/>
      <c r="Q40" s="434"/>
    </row>
    <row r="41" spans="1:17">
      <c r="A41" s="114"/>
      <c r="B41" s="13"/>
      <c r="C41" s="12"/>
      <c r="D41" s="507"/>
      <c r="E41" s="491"/>
      <c r="F41" s="492"/>
      <c r="G41" s="493"/>
      <c r="H41" s="492"/>
      <c r="I41" s="111"/>
      <c r="K41" s="119"/>
      <c r="M41" s="507"/>
      <c r="N41" s="491"/>
      <c r="O41" s="492"/>
      <c r="P41" s="493"/>
      <c r="Q41" s="492"/>
    </row>
    <row r="42" spans="1:17">
      <c r="A42" s="114"/>
      <c r="B42" s="13"/>
      <c r="C42" s="12"/>
      <c r="D42" s="507"/>
      <c r="E42" s="491"/>
      <c r="F42" s="492"/>
      <c r="G42" s="493"/>
      <c r="H42" s="492"/>
      <c r="I42" s="111"/>
      <c r="K42" s="119"/>
      <c r="M42" s="507"/>
      <c r="N42" s="491"/>
      <c r="O42" s="492"/>
      <c r="P42" s="493"/>
      <c r="Q42" s="492"/>
    </row>
    <row r="43" spans="1:17" ht="15" customHeight="1">
      <c r="A43" s="114"/>
      <c r="B43" s="13"/>
      <c r="C43" s="12"/>
      <c r="D43" s="32"/>
      <c r="E43" s="431"/>
      <c r="F43" s="499"/>
      <c r="G43" s="500"/>
      <c r="H43" s="499"/>
      <c r="I43" s="111"/>
      <c r="K43" s="119"/>
      <c r="M43" s="32"/>
      <c r="N43" s="431"/>
      <c r="O43" s="499"/>
      <c r="P43" s="500"/>
      <c r="Q43" s="499"/>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202</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4" t="s">
        <v>531</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31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148</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433"/>
      <c r="D13" s="436" t="s">
        <v>77</v>
      </c>
      <c r="E13" s="465" t="s">
        <v>72</v>
      </c>
      <c r="F13" s="437" t="s">
        <v>114</v>
      </c>
      <c r="G13" s="438" t="s">
        <v>62</v>
      </c>
      <c r="H13" s="466" t="s">
        <v>115</v>
      </c>
      <c r="I13" s="111"/>
      <c r="K13" s="119"/>
      <c r="M13" s="201"/>
      <c r="N13" s="204"/>
      <c r="O13" s="202"/>
      <c r="P13" s="434"/>
      <c r="Q13" s="434"/>
    </row>
    <row r="14" spans="1:17">
      <c r="A14" s="114"/>
      <c r="B14" s="168"/>
      <c r="C14" s="168"/>
      <c r="D14" s="792" t="s">
        <v>644</v>
      </c>
      <c r="E14" s="468">
        <f>VLOOKUP(CONCATENATE("seasoning_",D14),Assets_Daten,3,0)</f>
        <v>0</v>
      </c>
      <c r="F14" s="469">
        <f>E14/$E$42</f>
        <v>0</v>
      </c>
      <c r="G14" s="470">
        <f t="shared" ref="G14:G41" si="0">VLOOKUP(CONCATENATE("seasoning_",D14),Assets_Daten,2,0)</f>
        <v>0</v>
      </c>
      <c r="H14" s="471">
        <f>G14/$G$42</f>
        <v>0</v>
      </c>
      <c r="I14" s="111"/>
      <c r="K14" s="119"/>
      <c r="M14" s="472"/>
      <c r="N14" s="464"/>
      <c r="O14" s="461"/>
      <c r="P14" s="462"/>
      <c r="Q14" s="461"/>
    </row>
    <row r="15" spans="1:17">
      <c r="A15" s="114"/>
      <c r="B15" s="13"/>
      <c r="C15" s="12"/>
      <c r="D15" s="467" t="s">
        <v>645</v>
      </c>
      <c r="E15" s="468">
        <f t="shared" ref="E15:E41" si="1">VLOOKUP(CONCATENATE("seasoning_",D15),Assets_Daten,3,0)</f>
        <v>16673821.819999993</v>
      </c>
      <c r="F15" s="469">
        <f t="shared" ref="F15:F41" si="2">E15/$E$42</f>
        <v>1.7660958724588383E-2</v>
      </c>
      <c r="G15" s="470">
        <f t="shared" si="0"/>
        <v>1205</v>
      </c>
      <c r="H15" s="471">
        <f t="shared" ref="H15:H41" si="3">G15/$G$42</f>
        <v>2.364878125367979E-2</v>
      </c>
      <c r="I15" s="111"/>
      <c r="K15" s="119"/>
      <c r="M15" s="472"/>
      <c r="N15" s="464"/>
      <c r="O15" s="461"/>
      <c r="P15" s="462"/>
      <c r="Q15" s="461"/>
    </row>
    <row r="16" spans="1:17">
      <c r="A16" s="114"/>
      <c r="B16" s="13"/>
      <c r="C16" s="12"/>
      <c r="D16" s="467" t="s">
        <v>646</v>
      </c>
      <c r="E16" s="468">
        <f t="shared" si="1"/>
        <v>61354669.910000071</v>
      </c>
      <c r="F16" s="469">
        <f t="shared" si="2"/>
        <v>6.4987038037165282E-2</v>
      </c>
      <c r="G16" s="470">
        <f t="shared" si="0"/>
        <v>3833</v>
      </c>
      <c r="H16" s="471">
        <f t="shared" si="3"/>
        <v>7.5224712485771478E-2</v>
      </c>
      <c r="I16" s="111"/>
      <c r="K16" s="119"/>
      <c r="M16" s="472"/>
      <c r="N16" s="464"/>
      <c r="O16" s="461"/>
      <c r="P16" s="462"/>
      <c r="Q16" s="461"/>
    </row>
    <row r="17" spans="1:17">
      <c r="A17" s="114"/>
      <c r="B17" s="13"/>
      <c r="C17" s="12"/>
      <c r="D17" s="467" t="s">
        <v>647</v>
      </c>
      <c r="E17" s="468">
        <f t="shared" si="1"/>
        <v>398633864.06000048</v>
      </c>
      <c r="F17" s="469">
        <f t="shared" si="2"/>
        <v>0.4222341041777336</v>
      </c>
      <c r="G17" s="470">
        <f t="shared" si="0"/>
        <v>21308</v>
      </c>
      <c r="H17" s="471">
        <f t="shared" si="3"/>
        <v>0.4181811045256506</v>
      </c>
      <c r="I17" s="111"/>
      <c r="K17" s="119"/>
      <c r="M17" s="473"/>
      <c r="N17" s="464"/>
      <c r="O17" s="461"/>
      <c r="P17" s="462"/>
      <c r="Q17" s="461"/>
    </row>
    <row r="18" spans="1:17">
      <c r="A18" s="114"/>
      <c r="B18" s="13"/>
      <c r="C18" s="12"/>
      <c r="D18" s="467" t="s">
        <v>648</v>
      </c>
      <c r="E18" s="468">
        <f t="shared" si="1"/>
        <v>324582045.09999967</v>
      </c>
      <c r="F18" s="469">
        <f t="shared" si="2"/>
        <v>0.34379821034057217</v>
      </c>
      <c r="G18" s="470">
        <f t="shared" si="0"/>
        <v>16940</v>
      </c>
      <c r="H18" s="471">
        <f t="shared" si="3"/>
        <v>0.33245672567413748</v>
      </c>
      <c r="I18" s="111"/>
      <c r="K18" s="119"/>
      <c r="M18" s="473"/>
      <c r="N18" s="464"/>
      <c r="O18" s="461"/>
      <c r="P18" s="462"/>
      <c r="Q18" s="461"/>
    </row>
    <row r="19" spans="1:17">
      <c r="A19" s="114"/>
      <c r="B19" s="13"/>
      <c r="C19" s="12"/>
      <c r="D19" s="467" t="s">
        <v>649</v>
      </c>
      <c r="E19" s="468">
        <f t="shared" si="1"/>
        <v>86294903.519999862</v>
      </c>
      <c r="F19" s="469">
        <f t="shared" si="2"/>
        <v>9.1403803258889263E-2</v>
      </c>
      <c r="G19" s="470">
        <f t="shared" si="0"/>
        <v>4235</v>
      </c>
      <c r="H19" s="471">
        <f t="shared" si="3"/>
        <v>8.3114181418534369E-2</v>
      </c>
      <c r="I19" s="111"/>
      <c r="K19" s="119"/>
      <c r="M19" s="473"/>
      <c r="N19" s="464"/>
      <c r="O19" s="461"/>
      <c r="P19" s="462"/>
      <c r="Q19" s="461"/>
    </row>
    <row r="20" spans="1:17">
      <c r="A20" s="114"/>
      <c r="B20" s="13"/>
      <c r="C20" s="12"/>
      <c r="D20" s="467" t="s">
        <v>650</v>
      </c>
      <c r="E20" s="468">
        <f t="shared" si="1"/>
        <v>11960354.470000008</v>
      </c>
      <c r="F20" s="469">
        <f t="shared" si="2"/>
        <v>1.2668440919330658E-2</v>
      </c>
      <c r="G20" s="470">
        <f t="shared" si="0"/>
        <v>687</v>
      </c>
      <c r="H20" s="471">
        <f t="shared" si="3"/>
        <v>1.348274914628881E-2</v>
      </c>
      <c r="I20" s="111"/>
      <c r="K20" s="119"/>
      <c r="M20" s="473"/>
      <c r="N20" s="464"/>
      <c r="O20" s="461"/>
      <c r="P20" s="462"/>
      <c r="Q20" s="461"/>
    </row>
    <row r="21" spans="1:17">
      <c r="A21" s="114"/>
      <c r="B21" s="13"/>
      <c r="C21" s="12"/>
      <c r="D21" s="104" t="s">
        <v>651</v>
      </c>
      <c r="E21" s="468">
        <f t="shared" si="1"/>
        <v>17618287.860000003</v>
      </c>
      <c r="F21" s="469">
        <f t="shared" si="2"/>
        <v>1.8661339796743538E-2</v>
      </c>
      <c r="G21" s="470">
        <f t="shared" si="0"/>
        <v>1007</v>
      </c>
      <c r="H21" s="471">
        <f t="shared" si="3"/>
        <v>1.9762923421124935E-2</v>
      </c>
      <c r="I21" s="111"/>
      <c r="K21" s="119"/>
      <c r="M21" s="473"/>
      <c r="N21" s="464"/>
      <c r="O21" s="461"/>
      <c r="P21" s="462"/>
      <c r="Q21" s="461"/>
    </row>
    <row r="22" spans="1:17">
      <c r="A22" s="114"/>
      <c r="B22" s="13"/>
      <c r="C22" s="12"/>
      <c r="D22" s="467" t="s">
        <v>652</v>
      </c>
      <c r="E22" s="468">
        <f t="shared" si="1"/>
        <v>11365151.169999994</v>
      </c>
      <c r="F22" s="469">
        <f t="shared" si="2"/>
        <v>1.2037999918609982E-2</v>
      </c>
      <c r="G22" s="470">
        <f t="shared" si="0"/>
        <v>598</v>
      </c>
      <c r="H22" s="471">
        <f t="shared" si="3"/>
        <v>1.1736075676100011E-2</v>
      </c>
      <c r="I22" s="111"/>
      <c r="K22" s="119"/>
      <c r="M22" s="474"/>
      <c r="N22" s="464"/>
      <c r="O22" s="461"/>
      <c r="P22" s="462"/>
      <c r="Q22" s="461"/>
    </row>
    <row r="23" spans="1:17">
      <c r="A23" s="114"/>
      <c r="B23" s="13"/>
      <c r="C23" s="12"/>
      <c r="D23" s="467" t="s">
        <v>653</v>
      </c>
      <c r="E23" s="468">
        <f t="shared" si="1"/>
        <v>5517576.049999997</v>
      </c>
      <c r="F23" s="469">
        <f t="shared" si="2"/>
        <v>5.8442319901693294E-3</v>
      </c>
      <c r="G23" s="470">
        <f t="shared" si="0"/>
        <v>325</v>
      </c>
      <c r="H23" s="471">
        <f t="shared" si="3"/>
        <v>6.3783019978804409E-3</v>
      </c>
      <c r="I23" s="111"/>
      <c r="K23" s="119"/>
      <c r="M23" s="475"/>
      <c r="N23" s="464"/>
      <c r="O23" s="461"/>
      <c r="P23" s="462"/>
      <c r="Q23" s="461"/>
    </row>
    <row r="24" spans="1:17" ht="12.75" customHeight="1">
      <c r="A24" s="114"/>
      <c r="B24" s="13"/>
      <c r="C24" s="12"/>
      <c r="D24" s="467" t="s">
        <v>654</v>
      </c>
      <c r="E24" s="468">
        <f t="shared" si="1"/>
        <v>2790136.9000000004</v>
      </c>
      <c r="F24" s="469">
        <f t="shared" si="2"/>
        <v>2.9553208111978619E-3</v>
      </c>
      <c r="G24" s="470">
        <f t="shared" si="0"/>
        <v>173</v>
      </c>
      <c r="H24" s="471">
        <f t="shared" si="3"/>
        <v>3.3952192173332808E-3</v>
      </c>
      <c r="I24" s="111"/>
      <c r="K24" s="119"/>
      <c r="M24" s="475"/>
      <c r="N24" s="464"/>
      <c r="O24" s="461"/>
      <c r="P24" s="462"/>
      <c r="Q24" s="461"/>
    </row>
    <row r="25" spans="1:17" ht="12.75" customHeight="1">
      <c r="A25" s="114"/>
      <c r="B25" s="13"/>
      <c r="C25" s="12"/>
      <c r="D25" s="467" t="s">
        <v>655</v>
      </c>
      <c r="E25" s="468">
        <f t="shared" si="1"/>
        <v>2442933.620000001</v>
      </c>
      <c r="F25" s="469">
        <f t="shared" si="2"/>
        <v>2.5875621255576856E-3</v>
      </c>
      <c r="G25" s="470">
        <f t="shared" si="0"/>
        <v>184</v>
      </c>
      <c r="H25" s="471">
        <f t="shared" si="3"/>
        <v>3.6111002080307731E-3</v>
      </c>
      <c r="I25" s="111"/>
      <c r="K25" s="119"/>
      <c r="M25" s="475"/>
      <c r="N25" s="464"/>
      <c r="O25" s="461"/>
      <c r="P25" s="462"/>
      <c r="Q25" s="461"/>
    </row>
    <row r="26" spans="1:17" ht="12.75" customHeight="1">
      <c r="A26" s="114"/>
      <c r="B26" s="13"/>
      <c r="C26" s="12"/>
      <c r="D26" s="467" t="s">
        <v>656</v>
      </c>
      <c r="E26" s="468">
        <f t="shared" si="1"/>
        <v>1767909.95</v>
      </c>
      <c r="F26" s="469">
        <f t="shared" si="2"/>
        <v>1.8725751655980646E-3</v>
      </c>
      <c r="G26" s="470">
        <f t="shared" si="0"/>
        <v>136</v>
      </c>
      <c r="H26" s="471">
        <f t="shared" si="3"/>
        <v>2.6690740668053538E-3</v>
      </c>
      <c r="I26" s="111"/>
      <c r="K26" s="119"/>
      <c r="M26" s="475"/>
      <c r="N26" s="464"/>
      <c r="O26" s="461"/>
      <c r="P26" s="462"/>
      <c r="Q26" s="461"/>
    </row>
    <row r="27" spans="1:17" ht="12.75" customHeight="1">
      <c r="A27" s="114"/>
      <c r="B27" s="13"/>
      <c r="C27" s="12"/>
      <c r="D27" s="467" t="s">
        <v>657</v>
      </c>
      <c r="E27" s="468">
        <f t="shared" si="1"/>
        <v>1251803.03</v>
      </c>
      <c r="F27" s="469">
        <f t="shared" si="2"/>
        <v>1.3259132718826596E-3</v>
      </c>
      <c r="G27" s="470">
        <f t="shared" si="0"/>
        <v>98</v>
      </c>
      <c r="H27" s="471">
        <f t="shared" si="3"/>
        <v>1.9233033716685639E-3</v>
      </c>
      <c r="I27" s="111"/>
      <c r="K27" s="119"/>
      <c r="M27" s="475"/>
      <c r="N27" s="464"/>
      <c r="O27" s="461"/>
      <c r="P27" s="462"/>
      <c r="Q27" s="461"/>
    </row>
    <row r="28" spans="1:17" ht="12.75" customHeight="1">
      <c r="A28" s="114"/>
      <c r="B28" s="13"/>
      <c r="C28" s="12"/>
      <c r="D28" s="467" t="s">
        <v>658</v>
      </c>
      <c r="E28" s="468">
        <f t="shared" si="1"/>
        <v>596914.92999999993</v>
      </c>
      <c r="F28" s="469">
        <f t="shared" si="2"/>
        <v>6.3225396400574984E-4</v>
      </c>
      <c r="G28" s="470">
        <f t="shared" si="0"/>
        <v>51</v>
      </c>
      <c r="H28" s="471">
        <f t="shared" si="3"/>
        <v>1.0009027750520077E-3</v>
      </c>
      <c r="I28" s="111"/>
      <c r="K28" s="119"/>
      <c r="M28" s="475"/>
      <c r="N28" s="464"/>
      <c r="O28" s="461"/>
      <c r="P28" s="462"/>
      <c r="Q28" s="461"/>
    </row>
    <row r="29" spans="1:17" ht="12.75" customHeight="1">
      <c r="A29" s="114"/>
      <c r="B29" s="13"/>
      <c r="C29" s="12"/>
      <c r="D29" s="467" t="s">
        <v>659</v>
      </c>
      <c r="E29" s="468">
        <f t="shared" si="1"/>
        <v>329513.78000000003</v>
      </c>
      <c r="F29" s="469">
        <f t="shared" si="2"/>
        <v>3.4902191774549622E-4</v>
      </c>
      <c r="G29" s="470">
        <f t="shared" si="0"/>
        <v>38</v>
      </c>
      <c r="H29" s="471">
        <f t="shared" si="3"/>
        <v>7.4577069513679002E-4</v>
      </c>
      <c r="I29" s="111"/>
      <c r="K29" s="119"/>
      <c r="M29" s="475"/>
      <c r="N29" s="464"/>
      <c r="O29" s="461"/>
      <c r="P29" s="462"/>
      <c r="Q29" s="461"/>
    </row>
    <row r="30" spans="1:17" ht="12.75" customHeight="1">
      <c r="A30" s="114"/>
      <c r="B30" s="13"/>
      <c r="C30" s="12"/>
      <c r="D30" s="467" t="s">
        <v>660</v>
      </c>
      <c r="E30" s="468">
        <f t="shared" si="1"/>
        <v>178220.85000000003</v>
      </c>
      <c r="F30" s="469">
        <f t="shared" si="2"/>
        <v>1.8877202297649714E-4</v>
      </c>
      <c r="G30" s="470">
        <f t="shared" si="0"/>
        <v>21</v>
      </c>
      <c r="H30" s="471">
        <f t="shared" si="3"/>
        <v>4.1213643678612079E-4</v>
      </c>
      <c r="I30" s="111"/>
      <c r="K30" s="119"/>
      <c r="M30" s="475"/>
      <c r="N30" s="464"/>
      <c r="O30" s="461"/>
      <c r="P30" s="462"/>
      <c r="Q30" s="461"/>
    </row>
    <row r="31" spans="1:17" ht="12.75" customHeight="1">
      <c r="A31" s="114"/>
      <c r="B31" s="13"/>
      <c r="C31" s="12"/>
      <c r="D31" s="467" t="s">
        <v>661</v>
      </c>
      <c r="E31" s="468">
        <f t="shared" si="1"/>
        <v>229811.72999999998</v>
      </c>
      <c r="F31" s="469">
        <f t="shared" si="2"/>
        <v>2.4341722742220423E-4</v>
      </c>
      <c r="G31" s="470">
        <f t="shared" si="0"/>
        <v>30</v>
      </c>
      <c r="H31" s="471">
        <f t="shared" si="3"/>
        <v>5.8876633826588688E-4</v>
      </c>
      <c r="I31" s="111"/>
      <c r="K31" s="119"/>
      <c r="M31" s="475"/>
      <c r="N31" s="464"/>
      <c r="O31" s="461"/>
      <c r="P31" s="462"/>
      <c r="Q31" s="461"/>
    </row>
    <row r="32" spans="1:17" ht="12.75" customHeight="1">
      <c r="A32" s="114"/>
      <c r="B32" s="13"/>
      <c r="C32" s="12"/>
      <c r="D32" s="467" t="s">
        <v>662</v>
      </c>
      <c r="E32" s="468">
        <f t="shared" si="1"/>
        <v>218731.37999999998</v>
      </c>
      <c r="F32" s="469">
        <f t="shared" si="2"/>
        <v>2.3168088969972321E-4</v>
      </c>
      <c r="G32" s="470">
        <f t="shared" si="0"/>
        <v>25</v>
      </c>
      <c r="H32" s="471">
        <f t="shared" si="3"/>
        <v>4.9063861522157242E-4</v>
      </c>
      <c r="I32" s="111"/>
      <c r="K32" s="119"/>
      <c r="M32" s="475"/>
      <c r="N32" s="464"/>
      <c r="O32" s="461"/>
      <c r="P32" s="462"/>
      <c r="Q32" s="461"/>
    </row>
    <row r="33" spans="1:17" ht="12.75" customHeight="1">
      <c r="A33" s="114"/>
      <c r="B33" s="13"/>
      <c r="C33" s="12"/>
      <c r="D33" s="467" t="s">
        <v>663</v>
      </c>
      <c r="E33" s="468">
        <f t="shared" si="1"/>
        <v>98523.34</v>
      </c>
      <c r="F33" s="469">
        <f t="shared" si="2"/>
        <v>1.0435619739329733E-4</v>
      </c>
      <c r="G33" s="470">
        <f t="shared" si="0"/>
        <v>15</v>
      </c>
      <c r="H33" s="471">
        <f t="shared" si="3"/>
        <v>2.9438316913294344E-4</v>
      </c>
      <c r="I33" s="111"/>
      <c r="K33" s="119"/>
      <c r="M33" s="475"/>
      <c r="N33" s="464"/>
      <c r="O33" s="461"/>
      <c r="P33" s="462"/>
      <c r="Q33" s="461"/>
    </row>
    <row r="34" spans="1:17" ht="12.75" customHeight="1">
      <c r="A34" s="114"/>
      <c r="B34" s="13"/>
      <c r="C34" s="12"/>
      <c r="D34" s="467" t="s">
        <v>664</v>
      </c>
      <c r="E34" s="468">
        <f t="shared" si="1"/>
        <v>14742.35</v>
      </c>
      <c r="F34" s="469">
        <f t="shared" si="2"/>
        <v>1.5615138368645208E-5</v>
      </c>
      <c r="G34" s="470">
        <f t="shared" si="0"/>
        <v>6</v>
      </c>
      <c r="H34" s="471">
        <f t="shared" si="3"/>
        <v>1.1775326765317738E-4</v>
      </c>
      <c r="I34" s="111"/>
      <c r="K34" s="119"/>
      <c r="M34" s="475"/>
      <c r="N34" s="464"/>
      <c r="O34" s="461"/>
      <c r="P34" s="462"/>
      <c r="Q34" s="461"/>
    </row>
    <row r="35" spans="1:17" ht="12.75" customHeight="1">
      <c r="A35" s="114"/>
      <c r="B35" s="13"/>
      <c r="C35" s="12"/>
      <c r="D35" s="467" t="s">
        <v>665</v>
      </c>
      <c r="E35" s="468">
        <f t="shared" si="1"/>
        <v>80516.37</v>
      </c>
      <c r="F35" s="469">
        <f t="shared" si="2"/>
        <v>8.5283164386345034E-5</v>
      </c>
      <c r="G35" s="470">
        <f t="shared" si="0"/>
        <v>9</v>
      </c>
      <c r="H35" s="471">
        <f t="shared" si="3"/>
        <v>1.7662990147976606E-4</v>
      </c>
      <c r="I35" s="111"/>
      <c r="K35" s="119"/>
      <c r="M35" s="475"/>
      <c r="N35" s="464"/>
      <c r="O35" s="461"/>
      <c r="P35" s="462"/>
      <c r="Q35" s="461"/>
    </row>
    <row r="36" spans="1:17" ht="12.75" customHeight="1">
      <c r="A36" s="114"/>
      <c r="B36" s="13"/>
      <c r="C36" s="12"/>
      <c r="D36" s="467" t="s">
        <v>666</v>
      </c>
      <c r="E36" s="468">
        <f t="shared" si="1"/>
        <v>20056.649999999998</v>
      </c>
      <c r="F36" s="469">
        <f t="shared" si="2"/>
        <v>2.1244059797894357E-5</v>
      </c>
      <c r="G36" s="470">
        <f t="shared" si="0"/>
        <v>6</v>
      </c>
      <c r="H36" s="471">
        <f t="shared" si="3"/>
        <v>1.1775326765317738E-4</v>
      </c>
      <c r="I36" s="111"/>
      <c r="K36" s="119"/>
      <c r="M36" s="475"/>
      <c r="N36" s="464"/>
      <c r="O36" s="461"/>
      <c r="P36" s="462"/>
      <c r="Q36" s="461"/>
    </row>
    <row r="37" spans="1:17" ht="12.75" customHeight="1">
      <c r="A37" s="114"/>
      <c r="B37" s="13"/>
      <c r="C37" s="12"/>
      <c r="D37" s="467" t="s">
        <v>667</v>
      </c>
      <c r="E37" s="468">
        <f t="shared" si="1"/>
        <v>29015.54</v>
      </c>
      <c r="F37" s="469">
        <f t="shared" si="2"/>
        <v>3.0733341152595057E-5</v>
      </c>
      <c r="G37" s="470">
        <f t="shared" si="0"/>
        <v>7</v>
      </c>
      <c r="H37" s="471">
        <f t="shared" si="3"/>
        <v>1.3737881226204027E-4</v>
      </c>
      <c r="I37" s="111"/>
      <c r="K37" s="119"/>
      <c r="M37" s="475"/>
      <c r="N37" s="464"/>
      <c r="O37" s="461"/>
      <c r="P37" s="462"/>
      <c r="Q37" s="461"/>
    </row>
    <row r="38" spans="1:17" ht="12.75" customHeight="1">
      <c r="A38" s="114"/>
      <c r="B38" s="13"/>
      <c r="C38" s="12"/>
      <c r="D38" s="467" t="s">
        <v>668</v>
      </c>
      <c r="E38" s="468">
        <f t="shared" si="1"/>
        <v>3637.04</v>
      </c>
      <c r="F38" s="469">
        <f t="shared" si="2"/>
        <v>3.8523629443268785E-6</v>
      </c>
      <c r="G38" s="470">
        <f t="shared" si="0"/>
        <v>3</v>
      </c>
      <c r="H38" s="471">
        <f t="shared" si="3"/>
        <v>5.8876633826588691E-5</v>
      </c>
      <c r="I38" s="111"/>
      <c r="K38" s="119"/>
      <c r="M38" s="475"/>
      <c r="N38" s="464"/>
      <c r="O38" s="461"/>
      <c r="P38" s="462"/>
      <c r="Q38" s="461"/>
    </row>
    <row r="39" spans="1:17" ht="12.75" customHeight="1">
      <c r="A39" s="114"/>
      <c r="B39" s="13"/>
      <c r="C39" s="12"/>
      <c r="D39" s="467" t="s">
        <v>669</v>
      </c>
      <c r="E39" s="468">
        <f t="shared" si="1"/>
        <v>27983.360000000001</v>
      </c>
      <c r="F39" s="469">
        <f t="shared" si="2"/>
        <v>2.9640053208586931E-5</v>
      </c>
      <c r="G39" s="470">
        <f t="shared" si="0"/>
        <v>4</v>
      </c>
      <c r="H39" s="471">
        <f t="shared" si="3"/>
        <v>7.8502178435451583E-5</v>
      </c>
      <c r="I39" s="111"/>
      <c r="K39" s="119"/>
      <c r="M39" s="475"/>
      <c r="N39" s="464"/>
      <c r="O39" s="461"/>
      <c r="P39" s="462"/>
      <c r="Q39" s="461"/>
    </row>
    <row r="40" spans="1:17" ht="12.75" customHeight="1">
      <c r="A40" s="114"/>
      <c r="B40" s="13"/>
      <c r="C40" s="12"/>
      <c r="D40" s="467" t="s">
        <v>670</v>
      </c>
      <c r="E40" s="468">
        <f t="shared" si="1"/>
        <v>6049.6299999999992</v>
      </c>
      <c r="F40" s="469">
        <f t="shared" si="2"/>
        <v>6.4077850226800404E-6</v>
      </c>
      <c r="G40" s="470">
        <f t="shared" si="0"/>
        <v>2</v>
      </c>
      <c r="H40" s="471">
        <f t="shared" si="3"/>
        <v>3.9251089217725792E-5</v>
      </c>
      <c r="I40" s="111"/>
      <c r="K40" s="119"/>
      <c r="M40" s="475"/>
      <c r="N40" s="464"/>
      <c r="O40" s="461"/>
      <c r="P40" s="462"/>
      <c r="Q40" s="461"/>
    </row>
    <row r="41" spans="1:17" ht="12.75" customHeight="1" thickBot="1">
      <c r="A41" s="114"/>
      <c r="B41" s="13"/>
      <c r="C41" s="12"/>
      <c r="D41" s="467" t="s">
        <v>671</v>
      </c>
      <c r="E41" s="468">
        <f t="shared" si="1"/>
        <v>19092.98</v>
      </c>
      <c r="F41" s="469">
        <f t="shared" si="2"/>
        <v>2.0223337837575118E-5</v>
      </c>
      <c r="G41" s="470">
        <f t="shared" si="0"/>
        <v>8</v>
      </c>
      <c r="H41" s="471">
        <f t="shared" si="3"/>
        <v>1.5700435687090317E-4</v>
      </c>
      <c r="I41" s="111"/>
      <c r="K41" s="119"/>
      <c r="M41" s="475"/>
      <c r="N41" s="464"/>
      <c r="O41" s="461"/>
      <c r="P41" s="462"/>
      <c r="Q41" s="461"/>
    </row>
    <row r="42" spans="1:17" ht="14" thickTop="1" thickBot="1">
      <c r="A42" s="114"/>
      <c r="B42" s="13"/>
      <c r="C42" s="12"/>
      <c r="D42" s="476" t="s">
        <v>36</v>
      </c>
      <c r="E42" s="477">
        <f>SUM(E14:E41)</f>
        <v>944106267.38999999</v>
      </c>
      <c r="F42" s="478">
        <f>SUM(F14:F41)</f>
        <v>1.0000000000000002</v>
      </c>
      <c r="G42" s="479">
        <f>SUM(G14:G41)</f>
        <v>50954</v>
      </c>
      <c r="H42" s="480">
        <f>SUM(H14:H41)</f>
        <v>1.0000000000000004</v>
      </c>
      <c r="I42" s="111"/>
      <c r="J42" s="111"/>
      <c r="K42" s="119"/>
      <c r="M42" s="32"/>
      <c r="N42" s="431"/>
      <c r="O42" s="481"/>
      <c r="P42" s="432"/>
      <c r="Q42" s="445"/>
    </row>
    <row r="43" spans="1:17" ht="13">
      <c r="A43" s="114"/>
      <c r="B43" s="13"/>
      <c r="C43" s="12"/>
      <c r="D43" s="482"/>
      <c r="E43" s="483"/>
      <c r="F43" s="481"/>
      <c r="G43" s="432"/>
      <c r="H43" s="214"/>
      <c r="I43" s="111"/>
      <c r="J43" s="111"/>
      <c r="K43" s="119"/>
      <c r="M43" s="32"/>
      <c r="N43" s="431"/>
      <c r="O43" s="481"/>
      <c r="P43" s="432"/>
      <c r="Q43" s="445"/>
    </row>
    <row r="44" spans="1:17" ht="13">
      <c r="A44" s="114"/>
      <c r="B44" s="13"/>
      <c r="C44" s="12"/>
      <c r="D44" s="32"/>
      <c r="E44" s="431"/>
      <c r="F44" s="481"/>
      <c r="G44" s="432"/>
      <c r="H44" s="214"/>
      <c r="I44" s="111"/>
      <c r="J44" s="111"/>
      <c r="K44" s="119"/>
      <c r="M44" s="32"/>
      <c r="N44" s="431"/>
      <c r="O44" s="481"/>
      <c r="P44" s="432"/>
      <c r="Q44" s="445"/>
    </row>
    <row r="45" spans="1:17" ht="13.5" thickBot="1">
      <c r="A45" s="114"/>
      <c r="B45" s="13"/>
      <c r="C45" s="12"/>
      <c r="D45" s="447" t="s">
        <v>70</v>
      </c>
      <c r="E45" s="447"/>
      <c r="I45" s="111"/>
      <c r="J45" s="111"/>
      <c r="K45" s="119"/>
      <c r="N45" s="446"/>
    </row>
    <row r="46" spans="1:17" ht="13" thickBot="1">
      <c r="A46" s="114"/>
      <c r="B46" s="13"/>
      <c r="C46" s="12"/>
      <c r="D46" s="448" t="s">
        <v>75</v>
      </c>
      <c r="E46" s="768">
        <f>VLOOKUP(CONCATENATE("seasoning_",D46),Assets_Daten,3,0)</f>
        <v>12.211923367433165</v>
      </c>
      <c r="I46" s="111"/>
      <c r="J46" s="111"/>
      <c r="K46" s="119"/>
      <c r="N46" s="446"/>
    </row>
    <row r="47" spans="1:17">
      <c r="A47" s="114"/>
      <c r="B47" s="13"/>
      <c r="C47" s="12"/>
      <c r="D47" s="188"/>
      <c r="E47" s="220"/>
      <c r="I47" s="111"/>
      <c r="J47" s="111"/>
      <c r="K47" s="119"/>
      <c r="N47" s="446"/>
    </row>
    <row r="48" spans="1:17">
      <c r="A48" s="114"/>
      <c r="B48" s="13"/>
      <c r="C48" s="12"/>
      <c r="D48" s="187"/>
      <c r="E48" s="220"/>
      <c r="I48" s="111"/>
      <c r="J48" s="111"/>
      <c r="K48" s="119"/>
      <c r="N48" s="446"/>
    </row>
    <row r="49" spans="1:17">
      <c r="A49" s="114"/>
      <c r="B49" s="13"/>
      <c r="C49" s="12"/>
      <c r="E49" s="446"/>
      <c r="I49" s="111"/>
      <c r="J49" s="111"/>
      <c r="K49" s="119"/>
      <c r="N49" s="446"/>
    </row>
    <row r="50" spans="1:17">
      <c r="A50" s="114"/>
      <c r="B50" s="13"/>
      <c r="C50" s="12"/>
      <c r="E50" s="446"/>
      <c r="I50" s="111"/>
      <c r="J50" s="111"/>
      <c r="K50" s="119"/>
      <c r="N50" s="446"/>
    </row>
    <row r="51" spans="1:17">
      <c r="A51" s="114"/>
      <c r="B51" s="13"/>
      <c r="C51" s="12"/>
      <c r="E51" s="446"/>
      <c r="I51" s="111"/>
      <c r="J51" s="111"/>
      <c r="K51" s="119"/>
      <c r="N51" s="446"/>
    </row>
    <row r="52" spans="1:17">
      <c r="A52" s="114"/>
      <c r="B52" s="13"/>
      <c r="C52" s="12"/>
      <c r="E52" s="446"/>
      <c r="I52" s="111"/>
      <c r="J52" s="111"/>
      <c r="K52" s="119"/>
      <c r="N52" s="446"/>
    </row>
    <row r="53" spans="1:17">
      <c r="A53" s="114"/>
      <c r="B53" s="13"/>
      <c r="C53" s="12"/>
      <c r="E53" s="446"/>
      <c r="I53" s="111"/>
      <c r="J53" s="111"/>
      <c r="K53" s="119"/>
      <c r="N53" s="446"/>
    </row>
    <row r="54" spans="1:17">
      <c r="A54" s="150"/>
      <c r="B54" s="26"/>
      <c r="C54" s="10"/>
      <c r="D54" s="308"/>
      <c r="E54" s="10"/>
      <c r="F54" s="286"/>
      <c r="G54" s="309"/>
      <c r="H54" s="286"/>
      <c r="I54" s="344"/>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149</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31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150</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49" t="s">
        <v>76</v>
      </c>
      <c r="E13" s="437" t="s">
        <v>72</v>
      </c>
      <c r="F13" s="438" t="s">
        <v>114</v>
      </c>
      <c r="G13" s="439" t="s">
        <v>62</v>
      </c>
      <c r="H13" s="440" t="s">
        <v>115</v>
      </c>
      <c r="I13" s="201"/>
      <c r="K13" s="119"/>
      <c r="M13" s="450"/>
      <c r="N13" s="202"/>
      <c r="O13" s="434"/>
      <c r="P13" s="434"/>
      <c r="Q13" s="201"/>
    </row>
    <row r="14" spans="1:17">
      <c r="A14" s="114"/>
      <c r="B14" s="13"/>
      <c r="C14" s="12"/>
      <c r="D14" s="451" t="s">
        <v>672</v>
      </c>
      <c r="E14" s="452">
        <f t="shared" ref="E14:E28" si="0">VLOOKUP(CONCATENATE("remaining_",D14),Assets_Daten,3,0)</f>
        <v>935665.95000000275</v>
      </c>
      <c r="F14" s="453">
        <f>E14/$E$29</f>
        <v>9.9105999220476461E-4</v>
      </c>
      <c r="G14" s="454">
        <f t="shared" ref="G14:G28" si="1">VLOOKUP(CONCATENATE("remaining_",D14),Assets_Daten,2,0)</f>
        <v>1473</v>
      </c>
      <c r="H14" s="455">
        <f>G14/$G$29</f>
        <v>2.8908427208855045E-2</v>
      </c>
      <c r="I14" s="456"/>
      <c r="K14" s="119"/>
      <c r="M14" s="457"/>
      <c r="N14" s="458"/>
      <c r="O14" s="456"/>
      <c r="P14" s="459"/>
      <c r="Q14" s="456"/>
    </row>
    <row r="15" spans="1:17">
      <c r="A15" s="114"/>
      <c r="B15" s="13"/>
      <c r="C15" s="12"/>
      <c r="D15" s="451" t="s">
        <v>673</v>
      </c>
      <c r="E15" s="452">
        <f t="shared" si="0"/>
        <v>2779893.4099999983</v>
      </c>
      <c r="F15" s="453">
        <f t="shared" ref="F15:F28" si="2">E15/$E$29</f>
        <v>2.9444708779288874E-3</v>
      </c>
      <c r="G15" s="454">
        <f t="shared" si="1"/>
        <v>1337</v>
      </c>
      <c r="H15" s="455">
        <f t="shared" ref="H15:H28" si="3">G15/$G$29</f>
        <v>2.6239353142049691E-2</v>
      </c>
      <c r="I15" s="456"/>
      <c r="K15" s="119"/>
      <c r="M15" s="457"/>
      <c r="N15" s="458"/>
      <c r="O15" s="456"/>
      <c r="P15" s="459"/>
      <c r="Q15" s="456"/>
    </row>
    <row r="16" spans="1:17">
      <c r="A16" s="114"/>
      <c r="B16" s="13"/>
      <c r="C16" s="12"/>
      <c r="D16" s="451" t="s">
        <v>674</v>
      </c>
      <c r="E16" s="452">
        <f t="shared" si="0"/>
        <v>4469381.7200000072</v>
      </c>
      <c r="F16" s="453">
        <f t="shared" si="2"/>
        <v>4.7339816230176071E-3</v>
      </c>
      <c r="G16" s="454">
        <f t="shared" si="1"/>
        <v>1412</v>
      </c>
      <c r="H16" s="455">
        <f t="shared" si="3"/>
        <v>2.7711268987714407E-2</v>
      </c>
      <c r="I16" s="456"/>
      <c r="K16" s="119"/>
      <c r="M16" s="457"/>
      <c r="N16" s="458"/>
      <c r="O16" s="456"/>
      <c r="P16" s="459"/>
      <c r="Q16" s="456"/>
    </row>
    <row r="17" spans="1:17">
      <c r="A17" s="114"/>
      <c r="B17" s="13"/>
      <c r="C17" s="12"/>
      <c r="D17" s="451" t="s">
        <v>675</v>
      </c>
      <c r="E17" s="452">
        <f t="shared" si="0"/>
        <v>9448004.8399999961</v>
      </c>
      <c r="F17" s="453">
        <f t="shared" si="2"/>
        <v>1.0007353161757085E-2</v>
      </c>
      <c r="G17" s="454">
        <f t="shared" si="1"/>
        <v>2054</v>
      </c>
      <c r="H17" s="455">
        <f t="shared" si="3"/>
        <v>4.0310868626604386E-2</v>
      </c>
      <c r="I17" s="456"/>
      <c r="K17" s="119"/>
      <c r="M17" s="457"/>
      <c r="N17" s="458"/>
      <c r="O17" s="456"/>
      <c r="P17" s="459"/>
      <c r="Q17" s="456"/>
    </row>
    <row r="18" spans="1:17">
      <c r="A18" s="114"/>
      <c r="B18" s="13"/>
      <c r="C18" s="12"/>
      <c r="D18" s="451" t="s">
        <v>676</v>
      </c>
      <c r="E18" s="452">
        <f t="shared" si="0"/>
        <v>7752837.6200000169</v>
      </c>
      <c r="F18" s="453">
        <f t="shared" si="2"/>
        <v>8.2118272993069799E-3</v>
      </c>
      <c r="G18" s="454">
        <f t="shared" si="1"/>
        <v>1210</v>
      </c>
      <c r="H18" s="455">
        <f t="shared" si="3"/>
        <v>2.3746908976724105E-2</v>
      </c>
      <c r="I18" s="456"/>
      <c r="K18" s="119"/>
      <c r="M18" s="457"/>
      <c r="N18" s="458"/>
      <c r="O18" s="456"/>
      <c r="P18" s="459"/>
      <c r="Q18" s="456"/>
    </row>
    <row r="19" spans="1:17">
      <c r="A19" s="114"/>
      <c r="B19" s="13"/>
      <c r="C19" s="12"/>
      <c r="D19" s="451" t="s">
        <v>677</v>
      </c>
      <c r="E19" s="452">
        <f t="shared" si="0"/>
        <v>19606784.330000035</v>
      </c>
      <c r="F19" s="453">
        <f t="shared" si="2"/>
        <v>2.0767560821519985E-2</v>
      </c>
      <c r="G19" s="454">
        <f t="shared" si="1"/>
        <v>2694</v>
      </c>
      <c r="H19" s="455">
        <f t="shared" si="3"/>
        <v>5.2871217176276644E-2</v>
      </c>
      <c r="I19" s="456"/>
      <c r="K19" s="119"/>
      <c r="M19" s="457"/>
      <c r="N19" s="458"/>
      <c r="O19" s="456"/>
      <c r="P19" s="459"/>
      <c r="Q19" s="456"/>
    </row>
    <row r="20" spans="1:17">
      <c r="A20" s="114"/>
      <c r="B20" s="13"/>
      <c r="C20" s="12"/>
      <c r="D20" s="451" t="s">
        <v>678</v>
      </c>
      <c r="E20" s="452">
        <f t="shared" si="0"/>
        <v>16295226.079999996</v>
      </c>
      <c r="F20" s="453">
        <f t="shared" si="2"/>
        <v>1.7259949057481065E-2</v>
      </c>
      <c r="G20" s="454">
        <f t="shared" si="1"/>
        <v>1589</v>
      </c>
      <c r="H20" s="455">
        <f t="shared" si="3"/>
        <v>3.118499038348314E-2</v>
      </c>
      <c r="I20" s="456"/>
      <c r="K20" s="119"/>
      <c r="M20" s="457"/>
      <c r="N20" s="458"/>
      <c r="O20" s="456"/>
      <c r="P20" s="459"/>
      <c r="Q20" s="456"/>
    </row>
    <row r="21" spans="1:17">
      <c r="A21" s="114"/>
      <c r="B21" s="13"/>
      <c r="C21" s="12"/>
      <c r="D21" s="103" t="s">
        <v>679</v>
      </c>
      <c r="E21" s="452">
        <f t="shared" si="0"/>
        <v>27984565.080000006</v>
      </c>
      <c r="F21" s="453">
        <f t="shared" si="2"/>
        <v>2.9641329632694714E-2</v>
      </c>
      <c r="G21" s="454">
        <f t="shared" si="1"/>
        <v>2582</v>
      </c>
      <c r="H21" s="455">
        <f t="shared" si="3"/>
        <v>5.0673156180084E-2</v>
      </c>
      <c r="I21" s="456"/>
      <c r="K21" s="119"/>
      <c r="M21" s="457"/>
      <c r="N21" s="458"/>
      <c r="O21" s="456"/>
      <c r="P21" s="459"/>
      <c r="Q21" s="456"/>
    </row>
    <row r="22" spans="1:17">
      <c r="A22" s="114"/>
      <c r="B22" s="13"/>
      <c r="C22" s="12"/>
      <c r="D22" s="451" t="s">
        <v>680</v>
      </c>
      <c r="E22" s="452">
        <f t="shared" si="0"/>
        <v>28513946.110000018</v>
      </c>
      <c r="F22" s="453">
        <f t="shared" si="2"/>
        <v>3.0202051500862685E-2</v>
      </c>
      <c r="G22" s="454">
        <f t="shared" si="1"/>
        <v>2042</v>
      </c>
      <c r="H22" s="455">
        <f t="shared" si="3"/>
        <v>4.0075362091298035E-2</v>
      </c>
      <c r="I22" s="456"/>
      <c r="K22" s="119"/>
      <c r="M22" s="457"/>
      <c r="N22" s="458"/>
      <c r="O22" s="456"/>
      <c r="P22" s="459"/>
      <c r="Q22" s="456"/>
    </row>
    <row r="23" spans="1:17">
      <c r="A23" s="114"/>
      <c r="B23" s="13"/>
      <c r="C23" s="12"/>
      <c r="D23" s="451" t="s">
        <v>681</v>
      </c>
      <c r="E23" s="452">
        <f t="shared" si="0"/>
        <v>31692167.279999994</v>
      </c>
      <c r="F23" s="453">
        <f t="shared" si="2"/>
        <v>3.3568432256692461E-2</v>
      </c>
      <c r="G23" s="454">
        <f t="shared" si="1"/>
        <v>1855</v>
      </c>
      <c r="H23" s="455">
        <f t="shared" si="3"/>
        <v>3.6405385249440675E-2</v>
      </c>
      <c r="I23" s="456"/>
      <c r="K23" s="119"/>
      <c r="M23" s="457"/>
      <c r="N23" s="458"/>
      <c r="O23" s="456"/>
      <c r="P23" s="459"/>
      <c r="Q23" s="456"/>
    </row>
    <row r="24" spans="1:17">
      <c r="A24" s="114"/>
      <c r="B24" s="13"/>
      <c r="C24" s="12"/>
      <c r="D24" s="451" t="s">
        <v>682</v>
      </c>
      <c r="E24" s="452">
        <f t="shared" si="0"/>
        <v>82117122.229999781</v>
      </c>
      <c r="F24" s="453">
        <f t="shared" si="2"/>
        <v>8.6978685627216681E-2</v>
      </c>
      <c r="G24" s="454">
        <f t="shared" si="1"/>
        <v>4541</v>
      </c>
      <c r="H24" s="455">
        <f t="shared" si="3"/>
        <v>8.9119598068846409E-2</v>
      </c>
      <c r="I24" s="456"/>
      <c r="K24" s="119"/>
      <c r="M24" s="457"/>
      <c r="N24" s="458"/>
      <c r="O24" s="456"/>
      <c r="P24" s="459"/>
      <c r="Q24" s="456"/>
    </row>
    <row r="25" spans="1:17">
      <c r="A25" s="114"/>
      <c r="B25" s="13"/>
      <c r="C25" s="12"/>
      <c r="D25" s="451" t="s">
        <v>683</v>
      </c>
      <c r="E25" s="452">
        <f t="shared" si="0"/>
        <v>151236376.50000006</v>
      </c>
      <c r="F25" s="453">
        <f t="shared" si="2"/>
        <v>0.16018999314356416</v>
      </c>
      <c r="G25" s="454">
        <f t="shared" si="1"/>
        <v>5908</v>
      </c>
      <c r="H25" s="455">
        <f t="shared" si="3"/>
        <v>0.11594771754916199</v>
      </c>
      <c r="I25" s="456"/>
      <c r="K25" s="119"/>
      <c r="M25" s="457"/>
      <c r="N25" s="458"/>
      <c r="O25" s="456"/>
      <c r="P25" s="459"/>
      <c r="Q25" s="456"/>
    </row>
    <row r="26" spans="1:17" ht="12.75" customHeight="1">
      <c r="A26" s="114"/>
      <c r="B26" s="13"/>
      <c r="C26" s="12"/>
      <c r="D26" s="451" t="s">
        <v>684</v>
      </c>
      <c r="E26" s="452">
        <f t="shared" si="0"/>
        <v>519726658.78000003</v>
      </c>
      <c r="F26" s="453">
        <f t="shared" si="2"/>
        <v>0.55049593115909967</v>
      </c>
      <c r="G26" s="454">
        <f t="shared" si="1"/>
        <v>20434</v>
      </c>
      <c r="H26" s="455">
        <f t="shared" si="3"/>
        <v>0.40102837853750439</v>
      </c>
      <c r="I26" s="456"/>
      <c r="K26" s="119"/>
      <c r="M26" s="457"/>
      <c r="N26" s="458"/>
      <c r="O26" s="456"/>
      <c r="P26" s="459"/>
      <c r="Q26" s="456"/>
    </row>
    <row r="27" spans="1:17" ht="12.75" customHeight="1">
      <c r="A27" s="114"/>
      <c r="B27" s="13"/>
      <c r="C27" s="12"/>
      <c r="D27" s="451" t="s">
        <v>685</v>
      </c>
      <c r="E27" s="452">
        <f t="shared" si="0"/>
        <v>41374519.519999959</v>
      </c>
      <c r="F27" s="453">
        <f t="shared" si="2"/>
        <v>4.3824006840226387E-2</v>
      </c>
      <c r="G27" s="454">
        <f t="shared" si="1"/>
        <v>1813</v>
      </c>
      <c r="H27" s="455">
        <f t="shared" si="3"/>
        <v>3.5581112375868432E-2</v>
      </c>
      <c r="I27" s="456"/>
      <c r="K27" s="119"/>
      <c r="M27" s="457"/>
      <c r="N27" s="458"/>
      <c r="O27" s="456"/>
      <c r="P27" s="459"/>
      <c r="Q27" s="456"/>
    </row>
    <row r="28" spans="1:17" ht="12.75" customHeight="1" thickBot="1">
      <c r="A28" s="114"/>
      <c r="B28" s="13"/>
      <c r="C28" s="12"/>
      <c r="D28" s="451" t="s">
        <v>686</v>
      </c>
      <c r="E28" s="452">
        <f t="shared" si="0"/>
        <v>173117.94</v>
      </c>
      <c r="F28" s="453">
        <f t="shared" si="2"/>
        <v>1.8336700642671073E-4</v>
      </c>
      <c r="G28" s="454">
        <f t="shared" si="1"/>
        <v>10</v>
      </c>
      <c r="H28" s="455">
        <f t="shared" si="3"/>
        <v>1.9625544608862895E-4</v>
      </c>
      <c r="I28" s="456"/>
      <c r="K28" s="119"/>
      <c r="M28" s="457"/>
      <c r="N28" s="458"/>
      <c r="O28" s="456"/>
      <c r="P28" s="459"/>
      <c r="Q28" s="456"/>
    </row>
    <row r="29" spans="1:17" ht="14" thickTop="1" thickBot="1">
      <c r="A29" s="114"/>
      <c r="B29" s="13"/>
      <c r="C29" s="12"/>
      <c r="D29" s="460" t="s">
        <v>36</v>
      </c>
      <c r="E29" s="477">
        <f>SUM(E14:E28)</f>
        <v>944106267.38999999</v>
      </c>
      <c r="F29" s="785">
        <f>SUM(F14:F28)</f>
        <v>0.99999999999999978</v>
      </c>
      <c r="G29" s="479">
        <f>SUM(G14:G28)</f>
        <v>50954</v>
      </c>
      <c r="H29" s="480">
        <f>SUM(H14:H28)</f>
        <v>1</v>
      </c>
      <c r="I29" s="445"/>
      <c r="K29" s="119"/>
      <c r="M29" s="32"/>
      <c r="N29" s="431"/>
      <c r="O29" s="445"/>
      <c r="P29" s="432"/>
      <c r="Q29" s="445"/>
    </row>
    <row r="30" spans="1:17" ht="13">
      <c r="A30" s="114"/>
      <c r="B30" s="13"/>
      <c r="C30" s="12"/>
      <c r="D30" s="32"/>
      <c r="E30" s="431"/>
      <c r="F30" s="214"/>
      <c r="G30" s="432"/>
      <c r="H30" s="214"/>
      <c r="I30" s="445"/>
      <c r="K30" s="119"/>
      <c r="M30" s="32"/>
      <c r="N30" s="431"/>
      <c r="O30" s="445"/>
      <c r="P30" s="432"/>
      <c r="Q30" s="445"/>
    </row>
    <row r="31" spans="1:17" ht="13">
      <c r="A31" s="114"/>
      <c r="B31" s="13"/>
      <c r="C31" s="12"/>
      <c r="D31" s="32"/>
      <c r="E31" s="431"/>
      <c r="F31" s="214"/>
      <c r="G31" s="432"/>
      <c r="H31" s="214"/>
      <c r="I31" s="445"/>
      <c r="K31" s="119"/>
      <c r="M31" s="32"/>
      <c r="N31" s="431"/>
      <c r="O31" s="445"/>
      <c r="P31" s="432"/>
      <c r="Q31" s="445"/>
    </row>
    <row r="32" spans="1:17">
      <c r="A32" s="114"/>
      <c r="B32" s="13"/>
      <c r="C32" s="12"/>
      <c r="J32" s="111"/>
      <c r="K32" s="119"/>
    </row>
    <row r="33" spans="1:17" ht="13.5" thickBot="1">
      <c r="A33" s="114"/>
      <c r="B33" s="13"/>
      <c r="C33" s="12"/>
      <c r="D33" s="447" t="s">
        <v>70</v>
      </c>
      <c r="E33" s="447"/>
      <c r="J33" s="111"/>
      <c r="K33" s="119"/>
      <c r="N33" s="446"/>
    </row>
    <row r="34" spans="1:17" ht="13" thickBot="1">
      <c r="A34" s="114"/>
      <c r="B34" s="13"/>
      <c r="C34" s="12"/>
      <c r="D34" s="448" t="s">
        <v>66</v>
      </c>
      <c r="E34" s="768">
        <f>VLOOKUP(CONCATENATE("remaining_",D34),Assets_Daten,3,0)</f>
        <v>78.798028979951184</v>
      </c>
      <c r="F34" s="461"/>
      <c r="G34" s="462"/>
      <c r="H34" s="461"/>
      <c r="I34" s="111"/>
      <c r="J34" s="111"/>
      <c r="K34" s="119"/>
      <c r="M34" s="463"/>
      <c r="N34" s="464"/>
      <c r="O34" s="461"/>
      <c r="P34" s="462"/>
      <c r="Q34" s="461"/>
    </row>
    <row r="35" spans="1:17">
      <c r="A35" s="114"/>
      <c r="B35" s="13"/>
      <c r="C35" s="12"/>
      <c r="D35" s="188"/>
      <c r="E35" s="220"/>
      <c r="F35" s="461"/>
      <c r="G35" s="462"/>
      <c r="H35" s="461"/>
      <c r="I35" s="111"/>
      <c r="J35" s="111"/>
      <c r="K35" s="119"/>
      <c r="M35" s="463"/>
      <c r="N35" s="464"/>
      <c r="O35" s="461"/>
      <c r="P35" s="462"/>
      <c r="Q35" s="461"/>
    </row>
    <row r="36" spans="1:17">
      <c r="A36" s="114"/>
      <c r="B36" s="13"/>
      <c r="C36" s="12"/>
      <c r="D36" s="187"/>
      <c r="E36" s="220"/>
      <c r="F36" s="461"/>
      <c r="G36" s="462"/>
      <c r="H36" s="461"/>
      <c r="I36" s="111"/>
      <c r="J36" s="111"/>
      <c r="K36" s="119"/>
      <c r="M36" s="463"/>
      <c r="N36" s="464"/>
      <c r="O36" s="461"/>
      <c r="P36" s="462"/>
      <c r="Q36" s="461"/>
    </row>
    <row r="37" spans="1:17">
      <c r="A37" s="114"/>
      <c r="B37" s="13"/>
      <c r="C37" s="12"/>
      <c r="D37" s="463"/>
      <c r="E37" s="464"/>
      <c r="F37" s="461"/>
      <c r="G37" s="462"/>
      <c r="H37" s="461"/>
      <c r="I37" s="111"/>
      <c r="J37" s="111"/>
      <c r="K37" s="119"/>
      <c r="M37" s="463"/>
      <c r="N37" s="464"/>
      <c r="O37" s="461"/>
      <c r="P37" s="462"/>
      <c r="Q37" s="461"/>
    </row>
    <row r="38" spans="1:17">
      <c r="A38" s="114"/>
      <c r="B38" s="13"/>
      <c r="C38" s="12"/>
      <c r="D38" s="463"/>
      <c r="E38" s="464"/>
      <c r="F38" s="461"/>
      <c r="G38" s="462"/>
      <c r="H38" s="461"/>
      <c r="I38" s="111"/>
      <c r="J38" s="111"/>
      <c r="K38" s="119"/>
      <c r="M38" s="463"/>
      <c r="N38" s="464"/>
      <c r="O38" s="461"/>
      <c r="P38" s="462"/>
      <c r="Q38" s="461"/>
    </row>
    <row r="39" spans="1:17">
      <c r="A39" s="114"/>
      <c r="B39" s="13"/>
      <c r="C39" s="12"/>
      <c r="D39" s="463"/>
      <c r="E39" s="464"/>
      <c r="F39" s="461"/>
      <c r="G39" s="462"/>
      <c r="H39" s="461"/>
      <c r="I39" s="111"/>
      <c r="J39" s="111"/>
      <c r="K39" s="119"/>
      <c r="M39" s="463"/>
      <c r="N39" s="464"/>
      <c r="O39" s="461"/>
      <c r="P39" s="462"/>
      <c r="Q39" s="461"/>
    </row>
    <row r="40" spans="1:17">
      <c r="A40" s="114"/>
      <c r="B40" s="13"/>
      <c r="C40" s="12"/>
      <c r="D40" s="463"/>
      <c r="E40" s="464"/>
      <c r="F40" s="461"/>
      <c r="G40" s="462"/>
      <c r="H40" s="461"/>
      <c r="I40" s="111"/>
      <c r="J40" s="111"/>
      <c r="K40" s="119"/>
      <c r="M40" s="463"/>
      <c r="N40" s="464"/>
      <c r="O40" s="461"/>
      <c r="P40" s="462"/>
      <c r="Q40" s="461"/>
    </row>
    <row r="41" spans="1:17">
      <c r="A41" s="114"/>
      <c r="B41" s="13"/>
      <c r="C41" s="12"/>
      <c r="D41" s="463"/>
      <c r="E41" s="464"/>
      <c r="F41" s="461"/>
      <c r="G41" s="462"/>
      <c r="H41" s="461"/>
      <c r="I41" s="111"/>
      <c r="J41" s="111"/>
      <c r="K41" s="119"/>
      <c r="M41" s="463"/>
      <c r="N41" s="464"/>
      <c r="O41" s="461"/>
      <c r="P41" s="462"/>
      <c r="Q41" s="461"/>
    </row>
    <row r="42" spans="1:17">
      <c r="A42" s="114"/>
      <c r="B42" s="13"/>
      <c r="C42" s="12"/>
      <c r="D42" s="463"/>
      <c r="E42" s="464"/>
      <c r="F42" s="461"/>
      <c r="G42" s="462"/>
      <c r="H42" s="461"/>
      <c r="I42" s="111"/>
      <c r="J42" s="111"/>
      <c r="K42" s="119"/>
      <c r="M42" s="463"/>
      <c r="N42" s="464"/>
      <c r="O42" s="461"/>
      <c r="P42" s="462"/>
      <c r="Q42" s="461"/>
    </row>
    <row r="43" spans="1:17">
      <c r="A43" s="114"/>
      <c r="B43" s="13"/>
      <c r="C43" s="12"/>
      <c r="D43" s="463"/>
      <c r="E43" s="464"/>
      <c r="F43" s="461"/>
      <c r="G43" s="462"/>
      <c r="H43" s="461"/>
      <c r="I43" s="111"/>
      <c r="J43" s="111"/>
      <c r="K43" s="119"/>
      <c r="M43" s="463"/>
      <c r="N43" s="464"/>
      <c r="O43" s="461"/>
      <c r="P43" s="462"/>
      <c r="Q43" s="461"/>
    </row>
    <row r="44" spans="1:17">
      <c r="A44" s="114"/>
      <c r="B44" s="13"/>
      <c r="C44" s="12"/>
      <c r="D44" s="463"/>
      <c r="E44" s="464"/>
      <c r="F44" s="461"/>
      <c r="G44" s="462"/>
      <c r="H44" s="461"/>
      <c r="I44" s="111"/>
      <c r="J44" s="111"/>
      <c r="K44" s="119"/>
      <c r="M44" s="463"/>
      <c r="N44" s="464"/>
      <c r="O44" s="461"/>
      <c r="P44" s="462"/>
      <c r="Q44" s="461"/>
    </row>
    <row r="45" spans="1:17">
      <c r="A45" s="114"/>
      <c r="B45" s="13"/>
      <c r="C45" s="12"/>
      <c r="D45" s="463"/>
      <c r="E45" s="464"/>
      <c r="F45" s="461"/>
      <c r="G45" s="462"/>
      <c r="H45" s="461"/>
      <c r="I45" s="111"/>
      <c r="J45" s="111"/>
      <c r="K45" s="119"/>
      <c r="M45" s="463"/>
      <c r="N45" s="464"/>
      <c r="O45" s="461"/>
      <c r="P45" s="462"/>
      <c r="Q45" s="461"/>
    </row>
    <row r="46" spans="1:17">
      <c r="A46" s="114"/>
      <c r="B46" s="13"/>
      <c r="C46" s="12"/>
      <c r="D46" s="463"/>
      <c r="E46" s="464"/>
      <c r="F46" s="461"/>
      <c r="G46" s="462"/>
      <c r="H46" s="461"/>
      <c r="I46" s="111"/>
      <c r="J46" s="111"/>
      <c r="K46" s="119"/>
      <c r="M46" s="463"/>
      <c r="N46" s="464"/>
      <c r="O46" s="461"/>
      <c r="P46" s="462"/>
      <c r="Q46" s="461"/>
    </row>
    <row r="47" spans="1:17">
      <c r="A47" s="114"/>
      <c r="B47" s="13"/>
      <c r="C47" s="12"/>
      <c r="D47" s="463"/>
      <c r="E47" s="464"/>
      <c r="F47" s="461"/>
      <c r="G47" s="462"/>
      <c r="H47" s="461"/>
      <c r="I47" s="111"/>
      <c r="J47" s="111"/>
      <c r="K47" s="119"/>
      <c r="M47" s="463"/>
      <c r="N47" s="464"/>
      <c r="O47" s="461"/>
      <c r="P47" s="462"/>
      <c r="Q47" s="461"/>
    </row>
    <row r="48" spans="1:17">
      <c r="A48" s="150"/>
      <c r="B48" s="26"/>
      <c r="C48" s="10"/>
      <c r="D48" s="308"/>
      <c r="E48" s="10"/>
      <c r="F48" s="286"/>
      <c r="G48" s="309"/>
      <c r="H48" s="286"/>
      <c r="I48" s="344"/>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151</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31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7" ht="18">
      <c r="A3" s="114"/>
      <c r="B3" s="42" t="str">
        <f>'Cover Sheet'!B3</f>
        <v>Monthly Investor Report</v>
      </c>
      <c r="C3" s="42"/>
      <c r="D3" s="121" t="str">
        <f>'Cover Sheet'!D3</f>
        <v>Payment Date</v>
      </c>
      <c r="E3" s="122"/>
      <c r="F3" s="123">
        <f>'Cover Sheet'!F3</f>
        <v>45852</v>
      </c>
      <c r="G3" s="122"/>
      <c r="H3" s="122"/>
      <c r="I3" s="122"/>
      <c r="J3" s="124"/>
      <c r="K3" s="134"/>
      <c r="M3" s="99"/>
      <c r="O3" s="416"/>
    </row>
    <row r="4" spans="1:17" ht="13">
      <c r="A4" s="114"/>
      <c r="B4" s="120"/>
      <c r="C4" s="99"/>
      <c r="D4" s="121" t="str">
        <f>'Cover Sheet'!D4</f>
        <v>Period  No</v>
      </c>
      <c r="E4" s="122"/>
      <c r="F4" s="126">
        <f>'Cover Sheet'!F4</f>
        <v>8</v>
      </c>
      <c r="G4" s="122"/>
      <c r="H4" s="127"/>
      <c r="I4" s="122"/>
      <c r="J4" s="128"/>
      <c r="K4" s="316"/>
      <c r="M4" s="99"/>
      <c r="O4" s="81"/>
      <c r="Q4" s="99"/>
    </row>
    <row r="5" spans="1:17" ht="18">
      <c r="A5" s="114"/>
      <c r="B5" s="129" t="s">
        <v>152</v>
      </c>
      <c r="C5" s="129"/>
      <c r="D5" s="121" t="str">
        <f>'Cover Sheet'!D5</f>
        <v>Monthly Period</v>
      </c>
      <c r="E5" s="122"/>
      <c r="F5" s="130">
        <f>'Cover Sheet'!F5</f>
        <v>45852</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P6" s="81"/>
      <c r="Q6" s="416"/>
    </row>
    <row r="7" spans="1:17"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31.5" customHeight="1">
      <c r="A13" s="114"/>
      <c r="B13" s="168"/>
      <c r="C13" s="168"/>
      <c r="D13" s="436" t="s">
        <v>78</v>
      </c>
      <c r="E13" s="437" t="s">
        <v>72</v>
      </c>
      <c r="F13" s="438" t="s">
        <v>114</v>
      </c>
      <c r="G13" s="439" t="s">
        <v>62</v>
      </c>
      <c r="H13" s="440" t="s">
        <v>115</v>
      </c>
      <c r="I13" s="168"/>
      <c r="K13" s="119"/>
      <c r="M13" s="201"/>
      <c r="N13" s="202"/>
      <c r="O13" s="434"/>
      <c r="P13" s="434"/>
      <c r="Q13" s="204"/>
    </row>
    <row r="14" spans="1:17">
      <c r="A14" s="114"/>
      <c r="B14" s="13"/>
      <c r="C14" s="12"/>
      <c r="D14" s="102" t="s">
        <v>687</v>
      </c>
      <c r="E14" s="441">
        <f t="shared" ref="E14:E29" si="0">VLOOKUP(CONCATENATE("origterm_",D14),Assets_Daten,3,0)</f>
        <v>525177.24000000034</v>
      </c>
      <c r="F14" s="442">
        <f>E14/$E$30</f>
        <v>5.5626920203788325E-4</v>
      </c>
      <c r="G14" s="443">
        <f t="shared" ref="G14:G29" si="1">VLOOKUP(CONCATENATE("origterm_",D14),Assets_Daten,2,0)</f>
        <v>959</v>
      </c>
      <c r="H14" s="444">
        <f>G14/$G$30</f>
        <v>1.8820897279899516E-2</v>
      </c>
      <c r="I14" s="206"/>
      <c r="K14" s="119"/>
      <c r="N14" s="320"/>
      <c r="O14" s="206"/>
      <c r="P14" s="321"/>
      <c r="Q14" s="206"/>
    </row>
    <row r="15" spans="1:17">
      <c r="A15" s="114"/>
      <c r="B15" s="13"/>
      <c r="C15" s="12"/>
      <c r="D15" s="102" t="s">
        <v>674</v>
      </c>
      <c r="E15" s="441">
        <f t="shared" si="0"/>
        <v>1098151.9000000011</v>
      </c>
      <c r="F15" s="442">
        <f t="shared" ref="F15:F29" si="2">E15/$E$30</f>
        <v>1.1631655650754889E-3</v>
      </c>
      <c r="G15" s="443">
        <f t="shared" si="1"/>
        <v>774</v>
      </c>
      <c r="H15" s="444">
        <f t="shared" ref="H15:H29" si="3">G15/$G$30</f>
        <v>1.5190171527259882E-2</v>
      </c>
      <c r="I15" s="206"/>
      <c r="K15" s="119"/>
      <c r="N15" s="320"/>
      <c r="O15" s="206"/>
      <c r="P15" s="321"/>
      <c r="Q15" s="206"/>
    </row>
    <row r="16" spans="1:17">
      <c r="A16" s="114"/>
      <c r="B16" s="13"/>
      <c r="C16" s="12"/>
      <c r="D16" s="102" t="s">
        <v>675</v>
      </c>
      <c r="E16" s="441">
        <f t="shared" si="0"/>
        <v>5057740.1899999995</v>
      </c>
      <c r="F16" s="442">
        <f t="shared" si="2"/>
        <v>5.3571725606506287E-3</v>
      </c>
      <c r="G16" s="443">
        <f t="shared" si="1"/>
        <v>2005</v>
      </c>
      <c r="H16" s="444">
        <f t="shared" si="3"/>
        <v>3.9349216940770107E-2</v>
      </c>
      <c r="I16" s="206"/>
      <c r="K16" s="119"/>
      <c r="N16" s="320"/>
      <c r="O16" s="206"/>
      <c r="P16" s="321"/>
      <c r="Q16" s="206"/>
    </row>
    <row r="17" spans="1:17">
      <c r="A17" s="114"/>
      <c r="B17" s="13"/>
      <c r="C17" s="12"/>
      <c r="D17" s="102" t="s">
        <v>676</v>
      </c>
      <c r="E17" s="441">
        <f t="shared" si="0"/>
        <v>1732842.9500000002</v>
      </c>
      <c r="F17" s="442">
        <f t="shared" si="2"/>
        <v>1.8354321010816675E-3</v>
      </c>
      <c r="G17" s="443">
        <f t="shared" si="1"/>
        <v>349</v>
      </c>
      <c r="H17" s="444">
        <f t="shared" si="3"/>
        <v>6.8493150684931503E-3</v>
      </c>
      <c r="I17" s="206"/>
      <c r="K17" s="119"/>
      <c r="N17" s="320"/>
      <c r="O17" s="206"/>
      <c r="P17" s="321"/>
      <c r="Q17" s="206"/>
    </row>
    <row r="18" spans="1:17">
      <c r="A18" s="114"/>
      <c r="B18" s="13"/>
      <c r="C18" s="12"/>
      <c r="D18" s="102" t="s">
        <v>677</v>
      </c>
      <c r="E18" s="441">
        <f t="shared" si="0"/>
        <v>11941780.879999995</v>
      </c>
      <c r="F18" s="442">
        <f t="shared" si="2"/>
        <v>1.2648767720834293E-2</v>
      </c>
      <c r="G18" s="443">
        <f t="shared" si="1"/>
        <v>2551</v>
      </c>
      <c r="H18" s="444">
        <f t="shared" si="3"/>
        <v>5.0064764297209248E-2</v>
      </c>
      <c r="I18" s="206"/>
      <c r="K18" s="119"/>
      <c r="N18" s="320"/>
      <c r="O18" s="206"/>
      <c r="P18" s="321"/>
      <c r="Q18" s="206"/>
    </row>
    <row r="19" spans="1:17">
      <c r="A19" s="114"/>
      <c r="B19" s="13"/>
      <c r="C19" s="12"/>
      <c r="D19" s="102" t="s">
        <v>678</v>
      </c>
      <c r="E19" s="441">
        <f t="shared" si="0"/>
        <v>4187257.9200000004</v>
      </c>
      <c r="F19" s="442">
        <f t="shared" si="2"/>
        <v>4.435155304683816E-3</v>
      </c>
      <c r="G19" s="443">
        <f t="shared" si="1"/>
        <v>501</v>
      </c>
      <c r="H19" s="444">
        <f t="shared" si="3"/>
        <v>9.8323978490403117E-3</v>
      </c>
      <c r="I19" s="206"/>
      <c r="K19" s="119"/>
      <c r="N19" s="320"/>
      <c r="O19" s="206"/>
      <c r="P19" s="321"/>
      <c r="Q19" s="206"/>
    </row>
    <row r="20" spans="1:17">
      <c r="A20" s="114"/>
      <c r="B20" s="13"/>
      <c r="C20" s="12"/>
      <c r="D20" s="102" t="s">
        <v>679</v>
      </c>
      <c r="E20" s="441">
        <f t="shared" si="0"/>
        <v>20861993.510000017</v>
      </c>
      <c r="F20" s="442">
        <f t="shared" si="2"/>
        <v>2.2097081897012903E-2</v>
      </c>
      <c r="G20" s="443">
        <f t="shared" si="1"/>
        <v>2998</v>
      </c>
      <c r="H20" s="444">
        <f t="shared" si="3"/>
        <v>5.8837382737370963E-2</v>
      </c>
      <c r="I20" s="206"/>
      <c r="K20" s="119"/>
      <c r="N20" s="320"/>
      <c r="O20" s="206"/>
      <c r="P20" s="321"/>
      <c r="Q20" s="206"/>
    </row>
    <row r="21" spans="1:17">
      <c r="A21" s="114"/>
      <c r="B21" s="13"/>
      <c r="C21" s="12"/>
      <c r="D21" s="102" t="s">
        <v>680</v>
      </c>
      <c r="E21" s="441">
        <f t="shared" si="0"/>
        <v>33579274.520000033</v>
      </c>
      <c r="F21" s="442">
        <f t="shared" si="2"/>
        <v>3.5567261525368904E-2</v>
      </c>
      <c r="G21" s="443">
        <f t="shared" si="1"/>
        <v>3421</v>
      </c>
      <c r="H21" s="444">
        <f t="shared" si="3"/>
        <v>6.713898810691997E-2</v>
      </c>
      <c r="I21" s="206"/>
      <c r="K21" s="119"/>
      <c r="N21" s="320"/>
      <c r="O21" s="206"/>
      <c r="P21" s="321"/>
      <c r="Q21" s="206"/>
    </row>
    <row r="22" spans="1:17">
      <c r="A22" s="114"/>
      <c r="B22" s="13"/>
      <c r="C22" s="12"/>
      <c r="D22" s="102" t="s">
        <v>681</v>
      </c>
      <c r="E22" s="441">
        <f t="shared" si="0"/>
        <v>8476244.6700000037</v>
      </c>
      <c r="F22" s="442">
        <f t="shared" si="2"/>
        <v>8.978062070737796E-3</v>
      </c>
      <c r="G22" s="443">
        <f t="shared" si="1"/>
        <v>586</v>
      </c>
      <c r="H22" s="444">
        <f t="shared" si="3"/>
        <v>1.1500569140793657E-2</v>
      </c>
      <c r="I22" s="206"/>
      <c r="K22" s="119"/>
      <c r="N22" s="320"/>
      <c r="O22" s="206"/>
      <c r="P22" s="321"/>
      <c r="Q22" s="206"/>
    </row>
    <row r="23" spans="1:17">
      <c r="A23" s="114"/>
      <c r="B23" s="13"/>
      <c r="C23" s="12"/>
      <c r="D23" s="102" t="s">
        <v>682</v>
      </c>
      <c r="E23" s="441">
        <f t="shared" si="0"/>
        <v>34603752.75</v>
      </c>
      <c r="F23" s="442">
        <f t="shared" si="2"/>
        <v>3.6652391733043681E-2</v>
      </c>
      <c r="G23" s="443">
        <f t="shared" si="1"/>
        <v>2550</v>
      </c>
      <c r="H23" s="444">
        <f t="shared" si="3"/>
        <v>5.0045138752600388E-2</v>
      </c>
      <c r="I23" s="206"/>
      <c r="K23" s="119"/>
      <c r="N23" s="320"/>
      <c r="O23" s="206"/>
      <c r="P23" s="321"/>
      <c r="Q23" s="206"/>
    </row>
    <row r="24" spans="1:17">
      <c r="A24" s="114"/>
      <c r="B24" s="13"/>
      <c r="C24" s="12"/>
      <c r="D24" s="102" t="s">
        <v>683</v>
      </c>
      <c r="E24" s="441">
        <f t="shared" si="0"/>
        <v>14127612.890000006</v>
      </c>
      <c r="F24" s="442">
        <f t="shared" si="2"/>
        <v>1.4964007101717532E-2</v>
      </c>
      <c r="G24" s="443">
        <f t="shared" si="1"/>
        <v>652</v>
      </c>
      <c r="H24" s="444">
        <f t="shared" si="3"/>
        <v>1.2795855084978608E-2</v>
      </c>
      <c r="I24" s="206"/>
      <c r="K24" s="119"/>
      <c r="N24" s="320"/>
      <c r="O24" s="206"/>
      <c r="P24" s="321"/>
      <c r="Q24" s="206"/>
    </row>
    <row r="25" spans="1:17">
      <c r="A25" s="114"/>
      <c r="B25" s="13"/>
      <c r="C25" s="12"/>
      <c r="D25" s="102" t="s">
        <v>684</v>
      </c>
      <c r="E25" s="441">
        <f t="shared" si="0"/>
        <v>74519391.669999897</v>
      </c>
      <c r="F25" s="442">
        <f t="shared" si="2"/>
        <v>7.8931148159846573E-2</v>
      </c>
      <c r="G25" s="443">
        <f t="shared" si="1"/>
        <v>4523</v>
      </c>
      <c r="H25" s="444">
        <f t="shared" si="3"/>
        <v>8.8766338265886882E-2</v>
      </c>
      <c r="I25" s="206"/>
      <c r="K25" s="119"/>
      <c r="N25" s="320"/>
      <c r="O25" s="206"/>
      <c r="P25" s="321"/>
      <c r="Q25" s="206"/>
    </row>
    <row r="26" spans="1:17">
      <c r="A26" s="114"/>
      <c r="B26" s="13"/>
      <c r="C26" s="12"/>
      <c r="D26" s="102" t="s">
        <v>685</v>
      </c>
      <c r="E26" s="441">
        <f t="shared" si="0"/>
        <v>604186756.48000157</v>
      </c>
      <c r="F26" s="442">
        <f t="shared" si="2"/>
        <v>0.6399563029597154</v>
      </c>
      <c r="G26" s="443">
        <f t="shared" si="1"/>
        <v>24726</v>
      </c>
      <c r="H26" s="444">
        <f t="shared" si="3"/>
        <v>0.48526121599874394</v>
      </c>
      <c r="I26" s="206"/>
      <c r="K26" s="119"/>
      <c r="N26" s="320"/>
      <c r="O26" s="206"/>
      <c r="P26" s="321"/>
      <c r="Q26" s="206"/>
    </row>
    <row r="27" spans="1:17">
      <c r="A27" s="114"/>
      <c r="B27" s="13"/>
      <c r="C27" s="12"/>
      <c r="D27" s="102" t="s">
        <v>688</v>
      </c>
      <c r="E27" s="441">
        <f t="shared" si="0"/>
        <v>125391485.37999965</v>
      </c>
      <c r="F27" s="442">
        <f t="shared" si="2"/>
        <v>0.1328150121560433</v>
      </c>
      <c r="G27" s="443">
        <f t="shared" si="1"/>
        <v>4197</v>
      </c>
      <c r="H27" s="444">
        <f t="shared" si="3"/>
        <v>8.2368410723397581E-2</v>
      </c>
      <c r="I27" s="206"/>
      <c r="K27" s="119"/>
      <c r="N27" s="320"/>
      <c r="O27" s="206"/>
      <c r="P27" s="321"/>
      <c r="Q27" s="206"/>
    </row>
    <row r="28" spans="1:17">
      <c r="A28" s="114"/>
      <c r="B28" s="13"/>
      <c r="C28" s="12"/>
      <c r="D28" s="102" t="s">
        <v>689</v>
      </c>
      <c r="E28" s="441">
        <f t="shared" si="0"/>
        <v>3749716.560000001</v>
      </c>
      <c r="F28" s="442">
        <f t="shared" si="2"/>
        <v>3.9717102719444503E-3</v>
      </c>
      <c r="G28" s="443">
        <f t="shared" si="1"/>
        <v>159</v>
      </c>
      <c r="H28" s="444">
        <f t="shared" si="3"/>
        <v>3.1204615928092003E-3</v>
      </c>
      <c r="I28" s="206"/>
      <c r="K28" s="119"/>
      <c r="N28" s="320"/>
      <c r="O28" s="206"/>
      <c r="P28" s="321"/>
      <c r="Q28" s="206"/>
    </row>
    <row r="29" spans="1:17" ht="13" thickBot="1">
      <c r="A29" s="114"/>
      <c r="B29" s="13"/>
      <c r="C29" s="12"/>
      <c r="D29" s="102" t="s">
        <v>690</v>
      </c>
      <c r="E29" s="441">
        <f t="shared" si="0"/>
        <v>67087.88</v>
      </c>
      <c r="F29" s="442">
        <f t="shared" si="2"/>
        <v>7.1059670205839934E-5</v>
      </c>
      <c r="G29" s="443">
        <f t="shared" si="1"/>
        <v>3</v>
      </c>
      <c r="H29" s="444">
        <f t="shared" si="3"/>
        <v>5.8876633826588691E-5</v>
      </c>
      <c r="I29" s="206"/>
      <c r="K29" s="119"/>
      <c r="N29" s="320"/>
      <c r="O29" s="206"/>
      <c r="P29" s="321"/>
      <c r="Q29" s="206"/>
    </row>
    <row r="30" spans="1:17" ht="14" thickTop="1" thickBot="1">
      <c r="A30" s="114"/>
      <c r="B30" s="13"/>
      <c r="C30" s="12"/>
      <c r="D30" s="430" t="s">
        <v>36</v>
      </c>
      <c r="E30" s="477">
        <f>SUM(E14:E29)</f>
        <v>944106267.39000106</v>
      </c>
      <c r="F30" s="785">
        <f>SUM(F14:F29)</f>
        <v>1.0000000000000002</v>
      </c>
      <c r="G30" s="479">
        <f>SUM(G14:G29)</f>
        <v>50954</v>
      </c>
      <c r="H30" s="480">
        <f>SUM(H14:H29)</f>
        <v>1</v>
      </c>
      <c r="K30" s="119"/>
      <c r="M30" s="144"/>
      <c r="N30" s="431"/>
      <c r="O30" s="445"/>
      <c r="P30" s="432"/>
      <c r="Q30" s="445"/>
    </row>
    <row r="31" spans="1:17" ht="18" customHeight="1">
      <c r="A31" s="114"/>
      <c r="B31" s="13"/>
      <c r="C31" s="12"/>
      <c r="K31" s="119"/>
    </row>
    <row r="32" spans="1:17">
      <c r="A32" s="114"/>
      <c r="B32" s="13"/>
      <c r="C32" s="12"/>
      <c r="K32" s="119"/>
    </row>
    <row r="33" spans="1:14">
      <c r="A33" s="114"/>
      <c r="B33" s="13"/>
      <c r="C33" s="12"/>
      <c r="E33" s="446"/>
      <c r="K33" s="119"/>
      <c r="N33" s="446"/>
    </row>
    <row r="34" spans="1:14" ht="13.5" thickBot="1">
      <c r="A34" s="114"/>
      <c r="B34" s="13"/>
      <c r="C34" s="12"/>
      <c r="D34" s="447" t="s">
        <v>70</v>
      </c>
      <c r="E34" s="447"/>
      <c r="I34" s="211"/>
      <c r="K34" s="119"/>
    </row>
    <row r="35" spans="1:14" ht="13" thickBot="1">
      <c r="A35" s="114"/>
      <c r="B35" s="13"/>
      <c r="C35" s="12"/>
      <c r="D35" s="448" t="s">
        <v>67</v>
      </c>
      <c r="E35" s="768">
        <f>VLOOKUP(CONCATENATE("origterm_",D35),Assets_Daten,3,0)</f>
        <v>91.00995234738383</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08"/>
      <c r="E55" s="10"/>
      <c r="F55" s="286"/>
      <c r="G55" s="309"/>
      <c r="H55" s="286"/>
      <c r="I55" s="344"/>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153</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9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2024-2</v>
      </c>
      <c r="C2" s="42"/>
      <c r="D2" s="115" t="str">
        <f>'Cover Sheet'!D2</f>
        <v>Calculation Date</v>
      </c>
      <c r="E2" s="116"/>
      <c r="F2" s="117">
        <f>'Cover Sheet'!F2</f>
        <v>45848</v>
      </c>
      <c r="G2" s="116"/>
      <c r="H2" s="116"/>
      <c r="I2" s="116"/>
      <c r="J2" s="118"/>
      <c r="K2" s="316"/>
      <c r="M2" s="99"/>
      <c r="O2" s="416"/>
    </row>
    <row r="3" spans="1:18" ht="18">
      <c r="A3" s="114"/>
      <c r="B3" s="42" t="str">
        <f>'Cover Sheet'!B3</f>
        <v>Monthly Investor Report</v>
      </c>
      <c r="C3" s="42"/>
      <c r="D3" s="121" t="str">
        <f>'Cover Sheet'!D3</f>
        <v>Payment Date</v>
      </c>
      <c r="E3" s="122"/>
      <c r="F3" s="123">
        <f>'Cover Sheet'!F3</f>
        <v>45852</v>
      </c>
      <c r="G3" s="122"/>
      <c r="H3" s="122"/>
      <c r="I3" s="122"/>
      <c r="J3" s="124"/>
      <c r="K3" s="134"/>
      <c r="M3" s="99"/>
      <c r="O3" s="416"/>
    </row>
    <row r="4" spans="1:18" ht="13">
      <c r="A4" s="114"/>
      <c r="B4" s="120"/>
      <c r="C4" s="99"/>
      <c r="D4" s="121" t="str">
        <f>'Cover Sheet'!D4</f>
        <v>Period  No</v>
      </c>
      <c r="E4" s="122"/>
      <c r="F4" s="126">
        <f>'Cover Sheet'!F4</f>
        <v>8</v>
      </c>
      <c r="G4" s="122"/>
      <c r="H4" s="127"/>
      <c r="I4" s="122"/>
      <c r="J4" s="128"/>
      <c r="K4" s="316"/>
      <c r="M4" s="99"/>
      <c r="O4" s="417"/>
      <c r="Q4" s="99"/>
    </row>
    <row r="5" spans="1:18" ht="18">
      <c r="A5" s="114"/>
      <c r="B5" s="129" t="s">
        <v>154</v>
      </c>
      <c r="C5" s="129"/>
      <c r="D5" s="121" t="str">
        <f>'Cover Sheet'!D5</f>
        <v>Monthly Period</v>
      </c>
      <c r="E5" s="122"/>
      <c r="F5" s="130">
        <f>'Cover Sheet'!F5</f>
        <v>45852</v>
      </c>
      <c r="G5" s="122"/>
      <c r="H5" s="127"/>
      <c r="I5" s="122"/>
      <c r="J5" s="128"/>
      <c r="K5" s="134"/>
      <c r="M5" s="99"/>
      <c r="O5" s="418"/>
      <c r="Q5" s="99"/>
    </row>
    <row r="6" spans="1:18"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99"/>
      <c r="N6" s="81"/>
      <c r="O6" s="416"/>
      <c r="Q6" s="416"/>
    </row>
    <row r="7" spans="1:18" ht="13">
      <c r="A7" s="114"/>
      <c r="D7" s="136" t="str">
        <f>'Cover Sheet'!D7</f>
        <v>Collection Period</v>
      </c>
      <c r="E7" s="137" t="str">
        <f>'Cover Sheet'!E7</f>
        <v>from</v>
      </c>
      <c r="F7" s="138" t="str">
        <f>'Cover Sheet'!F7</f>
        <v>01.06.2025</v>
      </c>
      <c r="G7" s="137" t="str">
        <f>'Cover Sheet'!G7</f>
        <v>to</v>
      </c>
      <c r="H7" s="138">
        <f>'Cover Sheet'!H7</f>
        <v>45838</v>
      </c>
      <c r="I7" s="317"/>
      <c r="J7" s="162"/>
      <c r="K7" s="134"/>
      <c r="M7" s="99"/>
      <c r="O7" s="419"/>
      <c r="P7" s="81"/>
      <c r="Q7" s="416"/>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18"/>
      <c r="H11" s="318"/>
      <c r="I11" s="318"/>
      <c r="K11" s="119"/>
      <c r="P11" s="318"/>
      <c r="Q11" s="318"/>
      <c r="R11" s="318"/>
    </row>
    <row r="12" spans="1:18" ht="13" thickBot="1">
      <c r="A12" s="114"/>
      <c r="G12" s="318"/>
      <c r="H12" s="318"/>
      <c r="I12" s="318"/>
      <c r="K12" s="119"/>
      <c r="P12" s="318"/>
      <c r="Q12" s="318"/>
      <c r="R12" s="318"/>
    </row>
    <row r="13" spans="1:18" ht="29.5" thickBot="1">
      <c r="A13" s="114"/>
      <c r="B13" s="168"/>
      <c r="C13" s="420" t="s">
        <v>101</v>
      </c>
      <c r="D13" s="421" t="s">
        <v>72</v>
      </c>
      <c r="E13" s="421" t="s">
        <v>114</v>
      </c>
      <c r="F13" s="421" t="s">
        <v>62</v>
      </c>
      <c r="G13" s="421" t="s">
        <v>115</v>
      </c>
      <c r="H13" s="421" t="s">
        <v>102</v>
      </c>
      <c r="I13" s="422" t="s">
        <v>116</v>
      </c>
      <c r="K13" s="119"/>
      <c r="M13" s="423"/>
      <c r="N13" s="424"/>
      <c r="O13" s="424"/>
      <c r="P13" s="424"/>
      <c r="Q13" s="424"/>
      <c r="R13" s="424"/>
    </row>
    <row r="14" spans="1:18">
      <c r="A14" s="114"/>
      <c r="B14" s="13"/>
      <c r="C14" s="425" t="s">
        <v>631</v>
      </c>
      <c r="D14" s="55">
        <f t="shared" ref="D14:D20" si="0">VLOOKUP(CONCATENATE("loanconc_",C14),Assets_Daten,3,0)</f>
        <v>937517404.44999802</v>
      </c>
      <c r="E14" s="56">
        <f>D14/$D$21</f>
        <v>0.9930210579385147</v>
      </c>
      <c r="F14" s="426">
        <f>H14*1</f>
        <v>50428</v>
      </c>
      <c r="G14" s="56">
        <f>F14/$F$21</f>
        <v>0.98967696353573809</v>
      </c>
      <c r="H14" s="426">
        <f t="shared" ref="H14:H20" si="1">VLOOKUP(CONCATENATE("loanconc_",C14),Assets_Daten,2,0)</f>
        <v>50428</v>
      </c>
      <c r="I14" s="57">
        <f>H14/$H$21</f>
        <v>0.99483132767804305</v>
      </c>
      <c r="K14" s="119"/>
      <c r="N14" s="427"/>
      <c r="O14" s="428"/>
      <c r="P14" s="324"/>
      <c r="R14" s="324"/>
    </row>
    <row r="15" spans="1:18">
      <c r="A15" s="114"/>
      <c r="B15" s="13"/>
      <c r="C15" s="425" t="s">
        <v>632</v>
      </c>
      <c r="D15" s="58">
        <f t="shared" si="0"/>
        <v>6524190.1500000013</v>
      </c>
      <c r="E15" s="59">
        <f t="shared" ref="E15:E20" si="2">D15/$D$21</f>
        <v>6.9104404613648685E-3</v>
      </c>
      <c r="F15" s="429">
        <f>H15*2</f>
        <v>520</v>
      </c>
      <c r="G15" s="59">
        <f t="shared" ref="G15:G20" si="3">F15/$F$21</f>
        <v>1.0205283196608706E-2</v>
      </c>
      <c r="H15" s="429">
        <f t="shared" si="1"/>
        <v>260</v>
      </c>
      <c r="I15" s="60">
        <f t="shared" ref="I15:I20" si="4">H15/$H$21</f>
        <v>5.1292168080489245E-3</v>
      </c>
      <c r="K15" s="119"/>
      <c r="N15" s="427"/>
      <c r="O15" s="428"/>
      <c r="P15" s="324"/>
      <c r="R15" s="324"/>
    </row>
    <row r="16" spans="1:18">
      <c r="A16" s="114"/>
      <c r="B16" s="13"/>
      <c r="C16" s="425" t="s">
        <v>633</v>
      </c>
      <c r="D16" s="58">
        <f t="shared" si="0"/>
        <v>64672.789999999994</v>
      </c>
      <c r="E16" s="59">
        <f t="shared" si="2"/>
        <v>6.8501600120492065E-5</v>
      </c>
      <c r="F16" s="429">
        <f>H16*3</f>
        <v>6</v>
      </c>
      <c r="G16" s="59">
        <f t="shared" si="3"/>
        <v>1.1775326765317738E-4</v>
      </c>
      <c r="H16" s="429">
        <f t="shared" si="1"/>
        <v>2</v>
      </c>
      <c r="I16" s="60">
        <f t="shared" si="4"/>
        <v>3.9455513908068655E-5</v>
      </c>
      <c r="K16" s="119"/>
      <c r="N16" s="427"/>
      <c r="O16" s="428"/>
      <c r="P16" s="324"/>
      <c r="R16" s="324"/>
    </row>
    <row r="17" spans="1:18">
      <c r="A17" s="114"/>
      <c r="B17" s="13"/>
      <c r="C17" s="425" t="s">
        <v>634</v>
      </c>
      <c r="D17" s="58">
        <f t="shared" si="0"/>
        <v>0</v>
      </c>
      <c r="E17" s="59">
        <f t="shared" si="2"/>
        <v>0</v>
      </c>
      <c r="F17" s="429">
        <f>H17*4</f>
        <v>0</v>
      </c>
      <c r="G17" s="59">
        <f t="shared" si="3"/>
        <v>0</v>
      </c>
      <c r="H17" s="429">
        <f t="shared" si="1"/>
        <v>0</v>
      </c>
      <c r="I17" s="60">
        <f t="shared" si="4"/>
        <v>0</v>
      </c>
      <c r="K17" s="119"/>
      <c r="N17" s="427"/>
      <c r="O17" s="428"/>
      <c r="P17" s="324"/>
      <c r="R17" s="324"/>
    </row>
    <row r="18" spans="1:18">
      <c r="A18" s="114"/>
      <c r="B18" s="13"/>
      <c r="C18" s="425" t="s">
        <v>635</v>
      </c>
      <c r="D18" s="58">
        <f t="shared" si="0"/>
        <v>0</v>
      </c>
      <c r="E18" s="59">
        <f t="shared" si="2"/>
        <v>0</v>
      </c>
      <c r="F18" s="429">
        <f>H18*5</f>
        <v>0</v>
      </c>
      <c r="G18" s="59">
        <f t="shared" si="3"/>
        <v>0</v>
      </c>
      <c r="H18" s="429">
        <f t="shared" si="1"/>
        <v>0</v>
      </c>
      <c r="I18" s="60">
        <f t="shared" si="4"/>
        <v>0</v>
      </c>
      <c r="K18" s="119"/>
      <c r="N18" s="427"/>
      <c r="O18" s="428"/>
      <c r="P18" s="324"/>
      <c r="R18" s="324"/>
    </row>
    <row r="19" spans="1:18">
      <c r="A19" s="114"/>
      <c r="B19" s="13"/>
      <c r="C19" s="425" t="s">
        <v>636</v>
      </c>
      <c r="D19" s="58">
        <f t="shared" si="0"/>
        <v>0</v>
      </c>
      <c r="E19" s="59">
        <f t="shared" si="2"/>
        <v>0</v>
      </c>
      <c r="F19" s="429">
        <f>H19*6</f>
        <v>0</v>
      </c>
      <c r="G19" s="59">
        <f t="shared" si="3"/>
        <v>0</v>
      </c>
      <c r="H19" s="429">
        <f t="shared" si="1"/>
        <v>0</v>
      </c>
      <c r="I19" s="60">
        <f t="shared" si="4"/>
        <v>0</v>
      </c>
      <c r="K19" s="119"/>
      <c r="N19" s="427"/>
      <c r="O19" s="428"/>
      <c r="P19" s="324"/>
      <c r="R19" s="324"/>
    </row>
    <row r="20" spans="1:18" ht="13" thickBot="1">
      <c r="A20" s="114"/>
      <c r="B20" s="13"/>
      <c r="C20" s="425" t="s">
        <v>691</v>
      </c>
      <c r="D20" s="58">
        <f t="shared" si="0"/>
        <v>0</v>
      </c>
      <c r="E20" s="59">
        <f t="shared" si="2"/>
        <v>0</v>
      </c>
      <c r="F20" s="429">
        <f>H20*7</f>
        <v>0</v>
      </c>
      <c r="G20" s="59">
        <f t="shared" si="3"/>
        <v>0</v>
      </c>
      <c r="H20" s="429">
        <f t="shared" si="1"/>
        <v>0</v>
      </c>
      <c r="I20" s="60">
        <f t="shared" si="4"/>
        <v>0</v>
      </c>
      <c r="K20" s="119"/>
      <c r="N20" s="427"/>
      <c r="O20" s="428"/>
      <c r="P20" s="324"/>
      <c r="R20" s="324"/>
    </row>
    <row r="21" spans="1:18" ht="14" thickTop="1" thickBot="1">
      <c r="A21" s="114"/>
      <c r="B21" s="13"/>
      <c r="C21" s="430" t="s">
        <v>103</v>
      </c>
      <c r="D21" s="477">
        <f>SUM(D14:D20)</f>
        <v>944106267.38999796</v>
      </c>
      <c r="E21" s="785">
        <f t="shared" ref="E21:I21" si="5">SUM(E14:E20)</f>
        <v>1</v>
      </c>
      <c r="F21" s="479">
        <f t="shared" si="5"/>
        <v>50954</v>
      </c>
      <c r="G21" s="785">
        <f t="shared" si="5"/>
        <v>1</v>
      </c>
      <c r="H21" s="479">
        <f t="shared" si="5"/>
        <v>50690</v>
      </c>
      <c r="I21" s="480">
        <f t="shared" si="5"/>
        <v>1</v>
      </c>
      <c r="K21" s="119"/>
      <c r="N21" s="427"/>
      <c r="O21" s="428"/>
      <c r="P21" s="324"/>
      <c r="R21" s="324"/>
    </row>
    <row r="22" spans="1:18" ht="13">
      <c r="A22" s="114"/>
      <c r="B22" s="13"/>
      <c r="C22" s="32"/>
      <c r="D22" s="431"/>
      <c r="E22" s="214"/>
      <c r="F22" s="432"/>
      <c r="G22" s="214"/>
      <c r="H22" s="432"/>
      <c r="I22" s="214"/>
      <c r="K22" s="119"/>
      <c r="N22" s="427"/>
      <c r="O22" s="428"/>
      <c r="P22" s="324"/>
      <c r="R22" s="324"/>
    </row>
    <row r="23" spans="1:18" ht="13">
      <c r="A23" s="114"/>
      <c r="B23" s="13"/>
      <c r="C23" s="32"/>
      <c r="D23" s="431"/>
      <c r="E23" s="214"/>
      <c r="F23" s="432"/>
      <c r="G23" s="214"/>
      <c r="H23" s="432"/>
      <c r="I23" s="214"/>
      <c r="K23" s="119"/>
      <c r="N23" s="427"/>
      <c r="O23" s="428"/>
      <c r="P23" s="324"/>
      <c r="R23" s="324"/>
    </row>
    <row r="24" spans="1:18" ht="13">
      <c r="A24" s="114"/>
      <c r="B24" s="13"/>
      <c r="C24" s="32"/>
      <c r="D24" s="431"/>
      <c r="E24" s="214"/>
      <c r="F24" s="432"/>
      <c r="G24" s="214"/>
      <c r="H24" s="432"/>
      <c r="I24" s="214"/>
      <c r="K24" s="119"/>
      <c r="N24" s="427"/>
      <c r="O24" s="428"/>
      <c r="P24" s="324"/>
      <c r="R24" s="324"/>
    </row>
    <row r="25" spans="1:18" ht="13">
      <c r="A25" s="114"/>
      <c r="B25" s="13"/>
      <c r="C25" s="32"/>
      <c r="D25" s="431"/>
      <c r="E25" s="214"/>
      <c r="F25" s="432"/>
      <c r="G25" s="214"/>
      <c r="H25" s="432"/>
      <c r="I25" s="214"/>
      <c r="K25" s="119"/>
      <c r="N25" s="427"/>
      <c r="O25" s="428"/>
      <c r="P25" s="324"/>
      <c r="R25" s="324"/>
    </row>
    <row r="26" spans="1:18" ht="13">
      <c r="A26" s="114"/>
      <c r="B26" s="13"/>
      <c r="C26" s="32"/>
      <c r="D26" s="431"/>
      <c r="E26" s="214"/>
      <c r="F26" s="432"/>
      <c r="G26" s="214"/>
      <c r="H26" s="432"/>
      <c r="I26" s="214"/>
      <c r="K26" s="119"/>
      <c r="N26" s="427"/>
      <c r="O26" s="428"/>
      <c r="P26" s="324"/>
      <c r="R26" s="324"/>
    </row>
    <row r="27" spans="1:18" ht="13">
      <c r="A27" s="114"/>
      <c r="B27" s="13"/>
      <c r="C27" s="32"/>
      <c r="D27" s="431"/>
      <c r="E27" s="214"/>
      <c r="F27" s="432"/>
      <c r="G27" s="214"/>
      <c r="H27" s="432"/>
      <c r="I27" s="214"/>
      <c r="K27" s="119"/>
      <c r="N27" s="427"/>
      <c r="O27" s="428"/>
      <c r="P27" s="324"/>
      <c r="R27" s="324"/>
    </row>
    <row r="28" spans="1:18" ht="13">
      <c r="A28" s="114"/>
      <c r="B28" s="13"/>
      <c r="C28" s="32"/>
      <c r="D28" s="431"/>
      <c r="E28" s="214"/>
      <c r="F28" s="432"/>
      <c r="G28" s="214"/>
      <c r="H28" s="432"/>
      <c r="I28" s="214"/>
      <c r="K28" s="119"/>
      <c r="N28" s="427"/>
      <c r="O28" s="428"/>
      <c r="P28" s="324"/>
      <c r="R28" s="324"/>
    </row>
    <row r="29" spans="1:18" ht="13">
      <c r="A29" s="114"/>
      <c r="B29" s="13"/>
      <c r="C29" s="32"/>
      <c r="D29" s="431"/>
      <c r="E29" s="214"/>
      <c r="F29" s="432"/>
      <c r="G29" s="214"/>
      <c r="H29" s="432"/>
      <c r="I29" s="214"/>
      <c r="K29" s="119"/>
      <c r="N29" s="427"/>
      <c r="O29" s="428"/>
      <c r="P29" s="324"/>
      <c r="R29" s="324"/>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08"/>
      <c r="E46" s="10"/>
      <c r="F46" s="286"/>
      <c r="G46" s="309"/>
      <c r="H46" s="286"/>
      <c r="I46" s="309"/>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14" customWidth="1"/>
    <col min="2" max="2" width="25" style="314" customWidth="1"/>
    <col min="3" max="3" width="23" style="314" customWidth="1"/>
    <col min="4" max="4" width="22.81640625" style="314" bestFit="1" customWidth="1"/>
    <col min="5" max="5" width="15.81640625" style="314" customWidth="1"/>
    <col min="6" max="7" width="22.81640625" style="314" bestFit="1" customWidth="1"/>
    <col min="8" max="8" width="21.54296875" style="314" customWidth="1"/>
    <col min="9" max="10" width="22.81640625" style="314" bestFit="1" customWidth="1"/>
    <col min="11" max="11" width="1.81640625" style="314" customWidth="1"/>
    <col min="12" max="12" width="1.453125" style="314" customWidth="1"/>
    <col min="13" max="13" width="18.81640625" style="314" customWidth="1"/>
    <col min="14" max="14" width="2" style="314" customWidth="1"/>
    <col min="15" max="16384" width="9.1796875" style="314"/>
  </cols>
  <sheetData>
    <row r="1" spans="1:14" ht="6" customHeight="1">
      <c r="A1" s="348"/>
      <c r="B1" s="349"/>
      <c r="C1" s="349"/>
      <c r="D1" s="349"/>
      <c r="E1" s="349"/>
      <c r="F1" s="349"/>
      <c r="G1" s="349"/>
      <c r="H1" s="349"/>
      <c r="I1" s="349"/>
      <c r="J1" s="349"/>
      <c r="K1" s="350"/>
      <c r="L1" s="351"/>
    </row>
    <row r="2" spans="1:14" ht="18">
      <c r="A2" s="351"/>
      <c r="B2" s="352" t="str">
        <f>'Cover Sheet'!B2</f>
        <v>SC Germany Consumer 2024-2</v>
      </c>
      <c r="C2" s="353"/>
      <c r="D2" s="354" t="str">
        <f>'Cover Sheet'!D2</f>
        <v>Calculation Date</v>
      </c>
      <c r="E2" s="355"/>
      <c r="F2" s="356">
        <f>'Cover Sheet'!F2</f>
        <v>45848</v>
      </c>
      <c r="G2" s="355"/>
      <c r="H2" s="355"/>
      <c r="I2" s="355"/>
      <c r="J2" s="357"/>
      <c r="K2" s="358"/>
      <c r="L2" s="351"/>
    </row>
    <row r="3" spans="1:14" ht="18">
      <c r="A3" s="351"/>
      <c r="B3" s="359" t="str">
        <f>'Cover Sheet'!B3</f>
        <v>Monthly Investor Report</v>
      </c>
      <c r="C3" s="360"/>
      <c r="D3" s="361" t="str">
        <f>'Cover Sheet'!D3</f>
        <v>Payment Date</v>
      </c>
      <c r="E3" s="362"/>
      <c r="F3" s="363">
        <f>'Cover Sheet'!F3</f>
        <v>45852</v>
      </c>
      <c r="G3" s="362"/>
      <c r="H3" s="362"/>
      <c r="I3" s="362"/>
      <c r="J3" s="364"/>
      <c r="K3" s="358"/>
      <c r="L3" s="351"/>
    </row>
    <row r="4" spans="1:14">
      <c r="A4" s="351"/>
      <c r="B4" s="365"/>
      <c r="C4" s="366"/>
      <c r="D4" s="361" t="str">
        <f>'Cover Sheet'!D4</f>
        <v>Period  No</v>
      </c>
      <c r="E4" s="362"/>
      <c r="F4" s="367">
        <f>'Cover Sheet'!F4</f>
        <v>8</v>
      </c>
      <c r="G4" s="362"/>
      <c r="H4" s="368"/>
      <c r="I4" s="362"/>
      <c r="J4" s="364"/>
      <c r="K4" s="369"/>
      <c r="L4" s="370"/>
    </row>
    <row r="5" spans="1:14" ht="18">
      <c r="A5" s="351"/>
      <c r="B5" s="371" t="s">
        <v>362</v>
      </c>
      <c r="C5" s="372"/>
      <c r="D5" s="361" t="str">
        <f>'Cover Sheet'!D5</f>
        <v>Monthly Period</v>
      </c>
      <c r="E5" s="362"/>
      <c r="F5" s="130">
        <f>'Cover Sheet'!F5</f>
        <v>45852</v>
      </c>
      <c r="G5" s="362"/>
      <c r="H5" s="368"/>
      <c r="I5" s="362"/>
      <c r="J5" s="364"/>
      <c r="K5" s="369"/>
      <c r="L5" s="370"/>
    </row>
    <row r="6" spans="1:14" ht="15" customHeight="1">
      <c r="A6" s="351"/>
      <c r="B6" s="373"/>
      <c r="C6" s="374"/>
      <c r="D6" s="361" t="str">
        <f>'Cover Sheet'!D6</f>
        <v>Interest Period</v>
      </c>
      <c r="E6" s="375" t="str">
        <f>'Cover Sheet'!E6</f>
        <v>from</v>
      </c>
      <c r="F6" s="363">
        <f>'Cover Sheet'!F6</f>
        <v>45824</v>
      </c>
      <c r="G6" s="375" t="str">
        <f>'Cover Sheet'!G6</f>
        <v>to</v>
      </c>
      <c r="H6" s="363">
        <f>'Cover Sheet'!H6</f>
        <v>45852</v>
      </c>
      <c r="I6" s="375" t="str">
        <f>'Cover Sheet'!I6</f>
        <v>=</v>
      </c>
      <c r="J6" s="376" t="str">
        <f>'Cover Sheet'!J6</f>
        <v>28 days</v>
      </c>
      <c r="K6" s="377"/>
      <c r="L6" s="378"/>
      <c r="N6" s="379"/>
    </row>
    <row r="7" spans="1:14">
      <c r="A7" s="351"/>
      <c r="B7" s="114"/>
      <c r="D7" s="380" t="str">
        <f>'Cover Sheet'!D7</f>
        <v>Collection Period</v>
      </c>
      <c r="E7" s="381" t="str">
        <f>'Cover Sheet'!E7</f>
        <v>from</v>
      </c>
      <c r="F7" s="382" t="str">
        <f>'Cover Sheet'!F7</f>
        <v>01.06.2025</v>
      </c>
      <c r="G7" s="381" t="str">
        <f>'Cover Sheet'!G7</f>
        <v>to</v>
      </c>
      <c r="H7" s="382">
        <f>'Cover Sheet'!H7</f>
        <v>45838</v>
      </c>
      <c r="I7" s="383"/>
      <c r="J7" s="384"/>
      <c r="K7" s="358"/>
      <c r="L7" s="351"/>
    </row>
    <row r="8" spans="1:14" ht="13">
      <c r="A8" s="351"/>
      <c r="B8" s="351"/>
      <c r="F8" s="385"/>
      <c r="G8" s="386"/>
      <c r="H8" s="387"/>
      <c r="J8" s="388"/>
      <c r="K8" s="358"/>
      <c r="L8" s="389"/>
      <c r="M8" s="379"/>
    </row>
    <row r="9" spans="1:14">
      <c r="A9" s="351"/>
      <c r="B9" s="351"/>
      <c r="F9" s="366"/>
      <c r="J9" s="358"/>
      <c r="K9" s="358"/>
      <c r="L9" s="351"/>
    </row>
    <row r="10" spans="1:14">
      <c r="A10" s="351"/>
      <c r="B10" s="351"/>
      <c r="F10" s="390"/>
      <c r="J10" s="358"/>
      <c r="K10" s="358"/>
      <c r="L10" s="351"/>
    </row>
    <row r="11" spans="1:14" ht="18" customHeight="1">
      <c r="A11" s="351"/>
      <c r="B11" s="351"/>
      <c r="F11" s="366"/>
      <c r="J11" s="358"/>
      <c r="K11" s="358"/>
      <c r="L11" s="351"/>
    </row>
    <row r="12" spans="1:14">
      <c r="A12" s="351"/>
      <c r="B12" s="351"/>
      <c r="F12" s="366"/>
      <c r="J12" s="358"/>
      <c r="K12" s="358"/>
      <c r="L12" s="351"/>
    </row>
    <row r="13" spans="1:14">
      <c r="A13" s="351"/>
      <c r="B13" s="351"/>
      <c r="F13" s="391"/>
      <c r="J13" s="358"/>
      <c r="K13" s="358"/>
      <c r="L13" s="351"/>
    </row>
    <row r="14" spans="1:14" ht="18">
      <c r="A14" s="351"/>
      <c r="B14" s="359" t="s">
        <v>311</v>
      </c>
      <c r="C14" s="392"/>
      <c r="D14" s="392"/>
      <c r="E14" s="392"/>
      <c r="F14" s="393"/>
      <c r="G14" s="393"/>
      <c r="H14" s="394"/>
      <c r="J14" s="395"/>
      <c r="K14" s="358"/>
      <c r="L14" s="396"/>
      <c r="M14" s="392"/>
    </row>
    <row r="15" spans="1:14" ht="12.75" customHeight="1">
      <c r="A15" s="351"/>
      <c r="B15" s="359"/>
      <c r="C15" s="392"/>
      <c r="D15" s="397"/>
      <c r="F15" s="398"/>
      <c r="H15" s="398"/>
      <c r="J15" s="399"/>
      <c r="K15" s="358"/>
      <c r="L15" s="351"/>
      <c r="M15" s="392"/>
    </row>
    <row r="16" spans="1:14" ht="13" thickBot="1">
      <c r="A16" s="351"/>
      <c r="B16" s="400"/>
      <c r="F16" s="398"/>
      <c r="H16" s="401"/>
      <c r="J16" s="399"/>
      <c r="K16" s="358"/>
      <c r="L16" s="351"/>
    </row>
    <row r="17" spans="1:13" ht="15" customHeight="1">
      <c r="A17" s="351"/>
      <c r="B17" s="351"/>
      <c r="C17" s="877" t="s">
        <v>111</v>
      </c>
      <c r="D17" s="880" t="s">
        <v>312</v>
      </c>
      <c r="E17" s="402"/>
      <c r="F17" s="877" t="s">
        <v>111</v>
      </c>
      <c r="G17" s="880" t="s">
        <v>312</v>
      </c>
      <c r="H17" s="379"/>
      <c r="J17" s="399"/>
      <c r="K17" s="358"/>
      <c r="L17" s="403"/>
    </row>
    <row r="18" spans="1:13" ht="13.5" customHeight="1" thickBot="1">
      <c r="A18" s="351"/>
      <c r="B18" s="351"/>
      <c r="C18" s="878"/>
      <c r="D18" s="881"/>
      <c r="E18" s="386"/>
      <c r="F18" s="878"/>
      <c r="G18" s="881"/>
      <c r="H18" s="386"/>
      <c r="J18" s="399"/>
      <c r="K18" s="399"/>
      <c r="L18" s="404"/>
    </row>
    <row r="19" spans="1:13" ht="13">
      <c r="A19" s="351"/>
      <c r="B19" s="351"/>
      <c r="C19" s="386" t="s">
        <v>410</v>
      </c>
      <c r="D19" s="100">
        <f t="shared" ref="D19:D50" si="0">VLOOKUP(CONCATENATE("period_",$C19),Assets_Daten,3,0)</f>
        <v>944106267.39000177</v>
      </c>
      <c r="E19" s="386"/>
      <c r="F19" s="386" t="s">
        <v>411</v>
      </c>
      <c r="G19" s="100">
        <f t="shared" ref="G19:G50" si="1">VLOOKUP(CONCATENATE("period_",$F19),Assets_Daten,3,0)</f>
        <v>399108105.98000002</v>
      </c>
      <c r="H19" s="386"/>
      <c r="J19" s="399"/>
      <c r="K19" s="399"/>
      <c r="L19" s="351"/>
    </row>
    <row r="20" spans="1:13" ht="13">
      <c r="A20" s="351"/>
      <c r="B20" s="351"/>
      <c r="C20" s="386" t="s">
        <v>412</v>
      </c>
      <c r="D20" s="100">
        <f t="shared" si="0"/>
        <v>934004599.36000001</v>
      </c>
      <c r="E20" s="405"/>
      <c r="F20" s="386" t="s">
        <v>413</v>
      </c>
      <c r="G20" s="100">
        <f t="shared" si="1"/>
        <v>387739084.68000001</v>
      </c>
      <c r="H20" s="386"/>
      <c r="I20" s="386"/>
      <c r="J20" s="406"/>
      <c r="K20" s="399"/>
      <c r="L20" s="351"/>
    </row>
    <row r="21" spans="1:13" ht="13">
      <c r="A21" s="351"/>
      <c r="B21" s="351"/>
      <c r="C21" s="386" t="s">
        <v>414</v>
      </c>
      <c r="D21" s="100">
        <f t="shared" si="0"/>
        <v>923827827.53999996</v>
      </c>
      <c r="E21" s="386"/>
      <c r="F21" s="386" t="s">
        <v>415</v>
      </c>
      <c r="G21" s="100">
        <f t="shared" si="1"/>
        <v>376408107.25</v>
      </c>
      <c r="H21" s="386"/>
      <c r="I21" s="386"/>
      <c r="J21" s="406"/>
      <c r="K21" s="358"/>
      <c r="L21" s="351"/>
    </row>
    <row r="22" spans="1:13" ht="13">
      <c r="A22" s="351"/>
      <c r="B22" s="351"/>
      <c r="C22" s="386" t="s">
        <v>416</v>
      </c>
      <c r="D22" s="100">
        <f t="shared" si="0"/>
        <v>913632011.28999996</v>
      </c>
      <c r="E22" s="402"/>
      <c r="F22" s="386" t="s">
        <v>417</v>
      </c>
      <c r="G22" s="100">
        <f t="shared" si="1"/>
        <v>365111055.13999999</v>
      </c>
      <c r="H22" s="379"/>
      <c r="I22" s="386"/>
      <c r="J22" s="406"/>
      <c r="K22" s="407"/>
      <c r="L22" s="403"/>
      <c r="M22" s="408"/>
    </row>
    <row r="23" spans="1:13" ht="13">
      <c r="A23" s="351"/>
      <c r="B23" s="351"/>
      <c r="C23" s="386" t="s">
        <v>418</v>
      </c>
      <c r="D23" s="100">
        <f t="shared" si="0"/>
        <v>903415063.32000005</v>
      </c>
      <c r="E23" s="386"/>
      <c r="F23" s="386" t="s">
        <v>419</v>
      </c>
      <c r="G23" s="100">
        <f t="shared" si="1"/>
        <v>353791964.67000002</v>
      </c>
      <c r="H23" s="386"/>
      <c r="I23" s="386"/>
      <c r="J23" s="406"/>
      <c r="K23" s="399"/>
      <c r="L23" s="351"/>
      <c r="M23" s="409"/>
    </row>
    <row r="24" spans="1:13" ht="13">
      <c r="A24" s="351"/>
      <c r="B24" s="351"/>
      <c r="C24" s="386" t="s">
        <v>420</v>
      </c>
      <c r="D24" s="100">
        <f t="shared" si="0"/>
        <v>893188419.79999995</v>
      </c>
      <c r="E24" s="386"/>
      <c r="F24" s="386" t="s">
        <v>421</v>
      </c>
      <c r="G24" s="100">
        <f t="shared" si="1"/>
        <v>342437530.18000001</v>
      </c>
      <c r="H24" s="386"/>
      <c r="I24" s="386"/>
      <c r="J24" s="406"/>
      <c r="K24" s="399"/>
      <c r="L24" s="351"/>
    </row>
    <row r="25" spans="1:13" ht="13">
      <c r="A25" s="351"/>
      <c r="B25" s="351"/>
      <c r="C25" s="386" t="s">
        <v>422</v>
      </c>
      <c r="D25" s="100">
        <f t="shared" si="0"/>
        <v>882919622.03999996</v>
      </c>
      <c r="E25" s="405"/>
      <c r="F25" s="386" t="s">
        <v>423</v>
      </c>
      <c r="G25" s="100">
        <f t="shared" si="1"/>
        <v>331038193.88</v>
      </c>
      <c r="H25" s="386"/>
      <c r="I25" s="386"/>
      <c r="J25" s="406"/>
      <c r="K25" s="399"/>
      <c r="L25" s="351"/>
    </row>
    <row r="26" spans="1:13" ht="13">
      <c r="A26" s="351"/>
      <c r="B26" s="351"/>
      <c r="C26" s="386" t="s">
        <v>424</v>
      </c>
      <c r="D26" s="100">
        <f t="shared" si="0"/>
        <v>872607934.41999996</v>
      </c>
      <c r="E26" s="386"/>
      <c r="F26" s="386" t="s">
        <v>425</v>
      </c>
      <c r="G26" s="100">
        <f t="shared" si="1"/>
        <v>319602799.63</v>
      </c>
      <c r="H26" s="386"/>
      <c r="I26" s="386"/>
      <c r="J26" s="406"/>
      <c r="K26" s="358"/>
      <c r="L26" s="351"/>
    </row>
    <row r="27" spans="1:13" ht="13">
      <c r="A27" s="351"/>
      <c r="B27" s="351"/>
      <c r="C27" s="386" t="s">
        <v>426</v>
      </c>
      <c r="D27" s="100">
        <f t="shared" si="0"/>
        <v>862242638.62</v>
      </c>
      <c r="E27" s="402"/>
      <c r="F27" s="386" t="s">
        <v>427</v>
      </c>
      <c r="G27" s="100">
        <f t="shared" si="1"/>
        <v>308129928.06999999</v>
      </c>
      <c r="H27" s="379"/>
      <c r="I27" s="386"/>
      <c r="J27" s="406"/>
      <c r="K27" s="358"/>
      <c r="L27" s="351"/>
      <c r="M27" s="408"/>
    </row>
    <row r="28" spans="1:13" ht="13">
      <c r="A28" s="351"/>
      <c r="B28" s="351"/>
      <c r="C28" s="386" t="s">
        <v>428</v>
      </c>
      <c r="D28" s="100">
        <f t="shared" si="0"/>
        <v>851831166.73000002</v>
      </c>
      <c r="E28" s="386"/>
      <c r="F28" s="386" t="s">
        <v>429</v>
      </c>
      <c r="G28" s="100">
        <f t="shared" si="1"/>
        <v>296638940.83999997</v>
      </c>
      <c r="H28" s="386"/>
      <c r="I28" s="386"/>
      <c r="J28" s="406"/>
      <c r="K28" s="399"/>
      <c r="L28" s="351"/>
      <c r="M28" s="409"/>
    </row>
    <row r="29" spans="1:13" ht="13">
      <c r="A29" s="351"/>
      <c r="B29" s="351"/>
      <c r="C29" s="386" t="s">
        <v>430</v>
      </c>
      <c r="D29" s="100">
        <f t="shared" si="0"/>
        <v>841376350.48000002</v>
      </c>
      <c r="E29" s="386"/>
      <c r="F29" s="386" t="s">
        <v>431</v>
      </c>
      <c r="G29" s="100">
        <f t="shared" si="1"/>
        <v>285156697.25999999</v>
      </c>
      <c r="H29" s="386"/>
      <c r="I29" s="386"/>
      <c r="J29" s="406"/>
      <c r="K29" s="399"/>
      <c r="L29" s="351"/>
    </row>
    <row r="30" spans="1:13" ht="13">
      <c r="A30" s="351"/>
      <c r="B30" s="351"/>
      <c r="C30" s="386" t="s">
        <v>432</v>
      </c>
      <c r="D30" s="100">
        <f t="shared" si="0"/>
        <v>830886140.75999999</v>
      </c>
      <c r="E30" s="405"/>
      <c r="F30" s="386" t="s">
        <v>433</v>
      </c>
      <c r="G30" s="100">
        <f t="shared" si="1"/>
        <v>273680652.99000001</v>
      </c>
      <c r="H30" s="386"/>
      <c r="I30" s="386"/>
      <c r="J30" s="406"/>
      <c r="K30" s="399"/>
      <c r="L30" s="351"/>
    </row>
    <row r="31" spans="1:13" ht="13">
      <c r="A31" s="351"/>
      <c r="B31" s="351"/>
      <c r="C31" s="386" t="s">
        <v>434</v>
      </c>
      <c r="D31" s="100">
        <f t="shared" si="0"/>
        <v>820361571.55999994</v>
      </c>
      <c r="E31" s="386"/>
      <c r="F31" s="386" t="s">
        <v>435</v>
      </c>
      <c r="G31" s="100">
        <f t="shared" si="1"/>
        <v>262226010.88999999</v>
      </c>
      <c r="H31" s="386"/>
      <c r="I31" s="386"/>
      <c r="J31" s="406"/>
      <c r="K31" s="358"/>
      <c r="L31" s="351"/>
    </row>
    <row r="32" spans="1:13" ht="13">
      <c r="A32" s="351"/>
      <c r="B32" s="351"/>
      <c r="C32" s="386" t="s">
        <v>436</v>
      </c>
      <c r="D32" s="100">
        <f t="shared" si="0"/>
        <v>809797970.78999996</v>
      </c>
      <c r="E32" s="410"/>
      <c r="F32" s="386" t="s">
        <v>437</v>
      </c>
      <c r="G32" s="100">
        <f t="shared" si="1"/>
        <v>250812582.71000001</v>
      </c>
      <c r="H32" s="386"/>
      <c r="I32" s="386"/>
      <c r="J32" s="406"/>
      <c r="K32" s="358"/>
      <c r="L32" s="351"/>
    </row>
    <row r="33" spans="1:12" ht="13">
      <c r="A33" s="351"/>
      <c r="B33" s="351"/>
      <c r="C33" s="386" t="s">
        <v>438</v>
      </c>
      <c r="D33" s="100">
        <f t="shared" si="0"/>
        <v>799216288.73000002</v>
      </c>
      <c r="E33" s="386"/>
      <c r="F33" s="386" t="s">
        <v>439</v>
      </c>
      <c r="G33" s="100">
        <f t="shared" si="1"/>
        <v>239451908.16999999</v>
      </c>
      <c r="H33" s="386"/>
      <c r="I33" s="386"/>
      <c r="J33" s="406"/>
      <c r="K33" s="399"/>
      <c r="L33" s="351"/>
    </row>
    <row r="34" spans="1:12" ht="13">
      <c r="A34" s="351"/>
      <c r="B34" s="351"/>
      <c r="C34" s="386" t="s">
        <v>440</v>
      </c>
      <c r="D34" s="100">
        <f t="shared" si="0"/>
        <v>788635126.88</v>
      </c>
      <c r="E34" s="386"/>
      <c r="F34" s="386" t="s">
        <v>441</v>
      </c>
      <c r="G34" s="100">
        <f t="shared" si="1"/>
        <v>228113047.61000001</v>
      </c>
      <c r="H34" s="386"/>
      <c r="I34" s="386"/>
      <c r="J34" s="406"/>
      <c r="K34" s="399"/>
      <c r="L34" s="351"/>
    </row>
    <row r="35" spans="1:12" ht="13">
      <c r="A35" s="351"/>
      <c r="B35" s="351"/>
      <c r="C35" s="386" t="s">
        <v>442</v>
      </c>
      <c r="D35" s="100">
        <f t="shared" si="0"/>
        <v>778038214.15999997</v>
      </c>
      <c r="E35" s="411"/>
      <c r="F35" s="386" t="s">
        <v>443</v>
      </c>
      <c r="G35" s="100">
        <f t="shared" si="1"/>
        <v>216764051.62</v>
      </c>
      <c r="H35" s="386"/>
      <c r="I35" s="386"/>
      <c r="J35" s="406"/>
      <c r="K35" s="399"/>
      <c r="L35" s="351"/>
    </row>
    <row r="36" spans="1:12" ht="13">
      <c r="A36" s="351"/>
      <c r="B36" s="351"/>
      <c r="C36" s="386" t="s">
        <v>444</v>
      </c>
      <c r="D36" s="100">
        <f t="shared" si="0"/>
        <v>767423014.89999998</v>
      </c>
      <c r="E36" s="386"/>
      <c r="F36" s="386" t="s">
        <v>445</v>
      </c>
      <c r="G36" s="100">
        <f t="shared" si="1"/>
        <v>205411187.16</v>
      </c>
      <c r="H36" s="386"/>
      <c r="I36" s="386"/>
      <c r="J36" s="406"/>
      <c r="K36" s="358"/>
      <c r="L36" s="351"/>
    </row>
    <row r="37" spans="1:12" ht="13">
      <c r="A37" s="351"/>
      <c r="B37" s="351"/>
      <c r="C37" s="386" t="s">
        <v>446</v>
      </c>
      <c r="D37" s="100">
        <f t="shared" si="0"/>
        <v>756760804.88</v>
      </c>
      <c r="E37" s="410"/>
      <c r="F37" s="386" t="s">
        <v>447</v>
      </c>
      <c r="G37" s="100">
        <f t="shared" si="1"/>
        <v>194040951.03999999</v>
      </c>
      <c r="H37" s="386"/>
      <c r="I37" s="386"/>
      <c r="J37" s="406"/>
      <c r="K37" s="358"/>
      <c r="L37" s="351"/>
    </row>
    <row r="38" spans="1:12" ht="13">
      <c r="A38" s="351"/>
      <c r="B38" s="351"/>
      <c r="C38" s="386" t="s">
        <v>448</v>
      </c>
      <c r="D38" s="100">
        <f t="shared" si="0"/>
        <v>746041334.38999999</v>
      </c>
      <c r="E38" s="386"/>
      <c r="F38" s="386" t="s">
        <v>449</v>
      </c>
      <c r="G38" s="100">
        <f t="shared" si="1"/>
        <v>182653342.47999999</v>
      </c>
      <c r="H38" s="386"/>
      <c r="I38" s="386"/>
      <c r="J38" s="358"/>
      <c r="K38" s="399"/>
      <c r="L38" s="351"/>
    </row>
    <row r="39" spans="1:12" ht="13">
      <c r="A39" s="351"/>
      <c r="B39" s="351"/>
      <c r="C39" s="386" t="s">
        <v>450</v>
      </c>
      <c r="D39" s="100">
        <f t="shared" si="0"/>
        <v>735261522.48000002</v>
      </c>
      <c r="E39" s="386"/>
      <c r="F39" s="386" t="s">
        <v>451</v>
      </c>
      <c r="G39" s="100">
        <f t="shared" si="1"/>
        <v>171249690.99000001</v>
      </c>
      <c r="H39" s="386"/>
      <c r="I39" s="386"/>
      <c r="J39" s="358"/>
      <c r="K39" s="399"/>
      <c r="L39" s="351"/>
    </row>
    <row r="40" spans="1:12" ht="13">
      <c r="A40" s="351"/>
      <c r="B40" s="351"/>
      <c r="C40" s="386" t="s">
        <v>452</v>
      </c>
      <c r="D40" s="100">
        <f t="shared" si="0"/>
        <v>724421321.80999994</v>
      </c>
      <c r="E40" s="411"/>
      <c r="F40" s="386" t="s">
        <v>453</v>
      </c>
      <c r="G40" s="100">
        <f t="shared" si="1"/>
        <v>159888700.34999999</v>
      </c>
      <c r="H40" s="386"/>
      <c r="I40" s="386"/>
      <c r="J40" s="358"/>
      <c r="K40" s="399"/>
      <c r="L40" s="351"/>
    </row>
    <row r="41" spans="1:12" ht="13">
      <c r="A41" s="351"/>
      <c r="B41" s="351"/>
      <c r="C41" s="386" t="s">
        <v>454</v>
      </c>
      <c r="D41" s="100">
        <f t="shared" si="0"/>
        <v>713525088.62</v>
      </c>
      <c r="E41" s="412"/>
      <c r="F41" s="386" t="s">
        <v>455</v>
      </c>
      <c r="G41" s="100">
        <f t="shared" si="1"/>
        <v>148604053.22</v>
      </c>
      <c r="H41" s="386"/>
      <c r="I41" s="386"/>
      <c r="J41" s="358"/>
      <c r="K41" s="358"/>
      <c r="L41" s="351"/>
    </row>
    <row r="42" spans="1:12" ht="13">
      <c r="A42" s="351"/>
      <c r="B42" s="351"/>
      <c r="C42" s="386" t="s">
        <v>456</v>
      </c>
      <c r="D42" s="100">
        <f t="shared" si="0"/>
        <v>702588290.96000004</v>
      </c>
      <c r="E42" s="386"/>
      <c r="F42" s="386" t="s">
        <v>457</v>
      </c>
      <c r="G42" s="100">
        <f t="shared" si="1"/>
        <v>137432577.69999999</v>
      </c>
      <c r="H42" s="386"/>
      <c r="I42" s="386"/>
      <c r="J42" s="358"/>
      <c r="K42" s="358"/>
      <c r="L42" s="351"/>
    </row>
    <row r="43" spans="1:12" ht="13">
      <c r="A43" s="351"/>
      <c r="B43" s="351"/>
      <c r="C43" s="386" t="s">
        <v>458</v>
      </c>
      <c r="D43" s="100">
        <f t="shared" si="0"/>
        <v>691620328.14999998</v>
      </c>
      <c r="E43" s="412"/>
      <c r="F43" s="386" t="s">
        <v>459</v>
      </c>
      <c r="G43" s="100">
        <f t="shared" si="1"/>
        <v>126411956.63</v>
      </c>
      <c r="H43" s="412"/>
      <c r="I43" s="386"/>
      <c r="J43" s="358"/>
      <c r="K43" s="358"/>
      <c r="L43" s="351"/>
    </row>
    <row r="44" spans="1:12" ht="13">
      <c r="A44" s="351"/>
      <c r="B44" s="351"/>
      <c r="C44" s="386" t="s">
        <v>460</v>
      </c>
      <c r="D44" s="100">
        <f t="shared" si="0"/>
        <v>680631378.98000002</v>
      </c>
      <c r="E44" s="386"/>
      <c r="F44" s="386" t="s">
        <v>461</v>
      </c>
      <c r="G44" s="100">
        <f t="shared" si="1"/>
        <v>115583294.16</v>
      </c>
      <c r="H44" s="386"/>
      <c r="I44" s="386"/>
      <c r="J44" s="358"/>
      <c r="K44" s="358"/>
      <c r="L44" s="351"/>
    </row>
    <row r="45" spans="1:12" ht="13">
      <c r="A45" s="351"/>
      <c r="B45" s="351"/>
      <c r="C45" s="386" t="s">
        <v>462</v>
      </c>
      <c r="D45" s="100">
        <f t="shared" si="0"/>
        <v>669633901.09000003</v>
      </c>
      <c r="E45" s="386"/>
      <c r="F45" s="386" t="s">
        <v>463</v>
      </c>
      <c r="G45" s="100">
        <f t="shared" si="1"/>
        <v>104909715.77</v>
      </c>
      <c r="H45" s="386"/>
      <c r="I45" s="386"/>
      <c r="J45" s="358"/>
      <c r="K45" s="358"/>
      <c r="L45" s="351"/>
    </row>
    <row r="46" spans="1:12" ht="13">
      <c r="A46" s="351"/>
      <c r="B46" s="351"/>
      <c r="C46" s="386" t="s">
        <v>464</v>
      </c>
      <c r="D46" s="100">
        <f t="shared" si="0"/>
        <v>658644225.26999998</v>
      </c>
      <c r="E46" s="386"/>
      <c r="F46" s="386" t="s">
        <v>465</v>
      </c>
      <c r="G46" s="100">
        <f t="shared" si="1"/>
        <v>94364006.450000003</v>
      </c>
      <c r="H46" s="386"/>
      <c r="I46" s="386"/>
      <c r="J46" s="358"/>
      <c r="K46" s="358"/>
      <c r="L46" s="351"/>
    </row>
    <row r="47" spans="1:12" ht="13">
      <c r="A47" s="351"/>
      <c r="B47" s="351"/>
      <c r="C47" s="386" t="s">
        <v>466</v>
      </c>
      <c r="D47" s="100">
        <f t="shared" si="0"/>
        <v>647653646.49000001</v>
      </c>
      <c r="E47" s="386"/>
      <c r="F47" s="386" t="s">
        <v>467</v>
      </c>
      <c r="G47" s="100">
        <f t="shared" si="1"/>
        <v>83890119.689999998</v>
      </c>
      <c r="H47" s="386"/>
      <c r="I47" s="386"/>
      <c r="J47" s="358"/>
      <c r="K47" s="358"/>
      <c r="L47" s="351"/>
    </row>
    <row r="48" spans="1:12" ht="13">
      <c r="A48" s="351"/>
      <c r="B48" s="351"/>
      <c r="C48" s="386" t="s">
        <v>468</v>
      </c>
      <c r="D48" s="100">
        <f t="shared" si="0"/>
        <v>636655323.09000003</v>
      </c>
      <c r="E48" s="386"/>
      <c r="F48" s="386" t="s">
        <v>469</v>
      </c>
      <c r="G48" s="100">
        <f t="shared" si="1"/>
        <v>73471801.469999999</v>
      </c>
      <c r="H48" s="386"/>
      <c r="I48" s="386"/>
      <c r="J48" s="358"/>
      <c r="K48" s="358"/>
      <c r="L48" s="351"/>
    </row>
    <row r="49" spans="1:12" ht="13">
      <c r="A49" s="351"/>
      <c r="B49" s="351"/>
      <c r="C49" s="386" t="s">
        <v>470</v>
      </c>
      <c r="D49" s="100">
        <f t="shared" si="0"/>
        <v>625616186.21000004</v>
      </c>
      <c r="E49" s="386"/>
      <c r="F49" s="386" t="s">
        <v>471</v>
      </c>
      <c r="G49" s="100">
        <f t="shared" si="1"/>
        <v>63074153.530000001</v>
      </c>
      <c r="H49" s="386"/>
      <c r="I49" s="386"/>
      <c r="J49" s="369"/>
      <c r="K49" s="358"/>
      <c r="L49" s="351"/>
    </row>
    <row r="50" spans="1:12" ht="13">
      <c r="A50" s="351"/>
      <c r="B50" s="351"/>
      <c r="C50" s="386" t="s">
        <v>472</v>
      </c>
      <c r="D50" s="100">
        <f t="shared" si="0"/>
        <v>614519050.36000001</v>
      </c>
      <c r="E50" s="386"/>
      <c r="F50" s="386" t="s">
        <v>473</v>
      </c>
      <c r="G50" s="100">
        <f t="shared" si="1"/>
        <v>52738844.030000001</v>
      </c>
      <c r="H50" s="386"/>
      <c r="I50" s="386"/>
      <c r="J50" s="369"/>
      <c r="K50" s="358"/>
      <c r="L50" s="351"/>
    </row>
    <row r="51" spans="1:12" ht="13">
      <c r="A51" s="351"/>
      <c r="B51" s="351"/>
      <c r="C51" s="386" t="s">
        <v>474</v>
      </c>
      <c r="D51" s="100">
        <f t="shared" ref="D51:D68" si="2">VLOOKUP(CONCATENATE("period_",$C51),Assets_Daten,3,0)</f>
        <v>603365869.48000002</v>
      </c>
      <c r="E51" s="386"/>
      <c r="F51" s="386" t="s">
        <v>475</v>
      </c>
      <c r="G51" s="100">
        <f t="shared" ref="G51:G68" si="3">VLOOKUP(CONCATENATE("period_",$F51),Assets_Daten,3,0)</f>
        <v>42486824.960000001</v>
      </c>
      <c r="H51" s="386"/>
      <c r="I51" s="386"/>
      <c r="J51" s="369"/>
      <c r="K51" s="358"/>
      <c r="L51" s="351"/>
    </row>
    <row r="52" spans="1:12" ht="13">
      <c r="A52" s="351"/>
      <c r="B52" s="351"/>
      <c r="C52" s="386" t="s">
        <v>476</v>
      </c>
      <c r="D52" s="100">
        <f t="shared" si="2"/>
        <v>592160813.97000003</v>
      </c>
      <c r="E52" s="386"/>
      <c r="F52" s="386" t="s">
        <v>477</v>
      </c>
      <c r="G52" s="100">
        <f t="shared" si="3"/>
        <v>32936780.219999999</v>
      </c>
      <c r="H52" s="386"/>
      <c r="I52" s="386"/>
      <c r="J52" s="369"/>
      <c r="K52" s="358"/>
      <c r="L52" s="351"/>
    </row>
    <row r="53" spans="1:12" ht="13">
      <c r="A53" s="351"/>
      <c r="B53" s="351"/>
      <c r="C53" s="386" t="s">
        <v>478</v>
      </c>
      <c r="D53" s="100">
        <f t="shared" si="2"/>
        <v>580901361.35000002</v>
      </c>
      <c r="E53" s="386"/>
      <c r="F53" s="386" t="s">
        <v>479</v>
      </c>
      <c r="G53" s="100">
        <f t="shared" si="3"/>
        <v>24322150.18</v>
      </c>
      <c r="H53" s="386"/>
      <c r="I53" s="386"/>
      <c r="J53" s="369"/>
      <c r="K53" s="358"/>
      <c r="L53" s="351"/>
    </row>
    <row r="54" spans="1:12" ht="13">
      <c r="A54" s="351"/>
      <c r="B54" s="351"/>
      <c r="C54" s="386" t="s">
        <v>480</v>
      </c>
      <c r="D54" s="100">
        <f t="shared" si="2"/>
        <v>569613468.74000001</v>
      </c>
      <c r="E54" s="386"/>
      <c r="F54" s="386" t="s">
        <v>481</v>
      </c>
      <c r="G54" s="100">
        <f t="shared" si="3"/>
        <v>16783296.16</v>
      </c>
      <c r="H54" s="386"/>
      <c r="I54" s="386"/>
      <c r="J54" s="369"/>
      <c r="K54" s="358"/>
      <c r="L54" s="351"/>
    </row>
    <row r="55" spans="1:12" ht="13">
      <c r="A55" s="351"/>
      <c r="B55" s="351"/>
      <c r="C55" s="386" t="s">
        <v>482</v>
      </c>
      <c r="D55" s="100">
        <f t="shared" si="2"/>
        <v>558308738.50999999</v>
      </c>
      <c r="E55" s="386"/>
      <c r="F55" s="386" t="s">
        <v>483</v>
      </c>
      <c r="G55" s="100">
        <f t="shared" si="3"/>
        <v>10747890.59</v>
      </c>
      <c r="H55" s="386"/>
      <c r="I55" s="386"/>
      <c r="J55" s="369"/>
      <c r="K55" s="358"/>
      <c r="L55" s="351"/>
    </row>
    <row r="56" spans="1:12" ht="13">
      <c r="A56" s="351"/>
      <c r="B56" s="351"/>
      <c r="C56" s="386" t="s">
        <v>484</v>
      </c>
      <c r="D56" s="100">
        <f t="shared" si="2"/>
        <v>546989918.37</v>
      </c>
      <c r="E56" s="386"/>
      <c r="F56" s="386" t="s">
        <v>485</v>
      </c>
      <c r="G56" s="100">
        <f t="shared" si="3"/>
        <v>6481499.6399999997</v>
      </c>
      <c r="H56" s="386"/>
      <c r="I56" s="386"/>
      <c r="J56" s="369"/>
      <c r="K56" s="358"/>
      <c r="L56" s="351"/>
    </row>
    <row r="57" spans="1:12" ht="13">
      <c r="A57" s="351"/>
      <c r="B57" s="351"/>
      <c r="C57" s="386" t="s">
        <v>486</v>
      </c>
      <c r="D57" s="100">
        <f t="shared" si="2"/>
        <v>535678210.79000002</v>
      </c>
      <c r="E57" s="386"/>
      <c r="F57" s="386" t="s">
        <v>487</v>
      </c>
      <c r="G57" s="100">
        <f t="shared" si="3"/>
        <v>3849853.61</v>
      </c>
      <c r="H57" s="386"/>
      <c r="I57" s="386"/>
      <c r="J57" s="369"/>
      <c r="K57" s="358"/>
      <c r="L57" s="351"/>
    </row>
    <row r="58" spans="1:12" ht="13">
      <c r="A58" s="351"/>
      <c r="B58" s="351"/>
      <c r="C58" s="386" t="s">
        <v>488</v>
      </c>
      <c r="D58" s="100">
        <f t="shared" si="2"/>
        <v>524396495.81</v>
      </c>
      <c r="E58" s="386"/>
      <c r="F58" s="386" t="s">
        <v>489</v>
      </c>
      <c r="G58" s="100">
        <f t="shared" si="3"/>
        <v>2359043.13</v>
      </c>
      <c r="H58" s="386"/>
      <c r="I58" s="386"/>
      <c r="J58" s="369"/>
      <c r="K58" s="358"/>
      <c r="L58" s="351"/>
    </row>
    <row r="59" spans="1:12" ht="13">
      <c r="A59" s="351"/>
      <c r="B59" s="351"/>
      <c r="C59" s="386" t="s">
        <v>490</v>
      </c>
      <c r="D59" s="100">
        <f t="shared" si="2"/>
        <v>513140188.69</v>
      </c>
      <c r="E59" s="386"/>
      <c r="F59" s="386" t="s">
        <v>491</v>
      </c>
      <c r="G59" s="100">
        <f t="shared" si="3"/>
        <v>1349347.1</v>
      </c>
      <c r="H59" s="386"/>
      <c r="I59" s="386"/>
      <c r="J59" s="369"/>
      <c r="K59" s="358"/>
      <c r="L59" s="351"/>
    </row>
    <row r="60" spans="1:12" ht="13">
      <c r="A60" s="351"/>
      <c r="B60" s="351"/>
      <c r="C60" s="386" t="s">
        <v>492</v>
      </c>
      <c r="D60" s="100">
        <f t="shared" si="2"/>
        <v>501888744.57999998</v>
      </c>
      <c r="E60" s="386"/>
      <c r="F60" s="386" t="s">
        <v>493</v>
      </c>
      <c r="G60" s="100">
        <f t="shared" si="3"/>
        <v>716943.4</v>
      </c>
      <c r="H60" s="386"/>
      <c r="I60" s="386"/>
      <c r="J60" s="369"/>
      <c r="K60" s="358"/>
      <c r="L60" s="351"/>
    </row>
    <row r="61" spans="1:12" ht="13">
      <c r="A61" s="351"/>
      <c r="B61" s="351"/>
      <c r="C61" s="386" t="s">
        <v>494</v>
      </c>
      <c r="D61" s="100">
        <f t="shared" si="2"/>
        <v>490606277.00999999</v>
      </c>
      <c r="E61" s="386"/>
      <c r="F61" s="386" t="s">
        <v>495</v>
      </c>
      <c r="G61" s="100">
        <f t="shared" si="3"/>
        <v>290754.75</v>
      </c>
      <c r="H61" s="386"/>
      <c r="I61" s="386"/>
      <c r="J61" s="369"/>
      <c r="K61" s="358"/>
      <c r="L61" s="351"/>
    </row>
    <row r="62" spans="1:12" ht="13">
      <c r="A62" s="351"/>
      <c r="B62" s="351"/>
      <c r="C62" s="386" t="s">
        <v>496</v>
      </c>
      <c r="D62" s="100">
        <f t="shared" si="2"/>
        <v>479272753.48000002</v>
      </c>
      <c r="E62" s="386"/>
      <c r="F62" s="386" t="s">
        <v>497</v>
      </c>
      <c r="G62" s="100">
        <f t="shared" si="3"/>
        <v>103015.21</v>
      </c>
      <c r="H62" s="386"/>
      <c r="I62" s="386"/>
      <c r="J62" s="369"/>
      <c r="K62" s="358"/>
      <c r="L62" s="351"/>
    </row>
    <row r="63" spans="1:12" ht="13">
      <c r="A63" s="351"/>
      <c r="B63" s="351"/>
      <c r="C63" s="386" t="s">
        <v>498</v>
      </c>
      <c r="D63" s="100">
        <f t="shared" si="2"/>
        <v>467890141.11000001</v>
      </c>
      <c r="E63" s="386"/>
      <c r="F63" s="386" t="s">
        <v>499</v>
      </c>
      <c r="G63" s="100">
        <f t="shared" si="3"/>
        <v>42627.82</v>
      </c>
      <c r="H63" s="386"/>
      <c r="I63" s="386"/>
      <c r="J63" s="369"/>
      <c r="K63" s="358"/>
      <c r="L63" s="351"/>
    </row>
    <row r="64" spans="1:12" ht="13">
      <c r="A64" s="351"/>
      <c r="B64" s="351"/>
      <c r="C64" s="386" t="s">
        <v>500</v>
      </c>
      <c r="D64" s="100">
        <f t="shared" si="2"/>
        <v>456456616.66000003</v>
      </c>
      <c r="E64" s="386"/>
      <c r="F64" s="386" t="s">
        <v>501</v>
      </c>
      <c r="G64" s="100">
        <f t="shared" si="3"/>
        <v>19131.14</v>
      </c>
      <c r="H64" s="386"/>
      <c r="I64" s="386"/>
      <c r="J64" s="369"/>
      <c r="K64" s="358"/>
      <c r="L64" s="351"/>
    </row>
    <row r="65" spans="1:12" ht="13">
      <c r="A65" s="351"/>
      <c r="B65" s="351"/>
      <c r="C65" s="386" t="s">
        <v>502</v>
      </c>
      <c r="D65" s="100">
        <f t="shared" si="2"/>
        <v>444970200.75999999</v>
      </c>
      <c r="E65" s="386"/>
      <c r="F65" s="386" t="s">
        <v>503</v>
      </c>
      <c r="G65" s="100">
        <f t="shared" si="3"/>
        <v>9167.35</v>
      </c>
      <c r="H65" s="386"/>
      <c r="I65" s="386"/>
      <c r="J65" s="369"/>
      <c r="K65" s="358"/>
      <c r="L65" s="351"/>
    </row>
    <row r="66" spans="1:12" ht="13">
      <c r="A66" s="351"/>
      <c r="B66" s="351"/>
      <c r="C66" s="386" t="s">
        <v>504</v>
      </c>
      <c r="D66" s="100">
        <f t="shared" si="2"/>
        <v>433480398.38</v>
      </c>
      <c r="E66" s="386"/>
      <c r="F66" s="386" t="s">
        <v>505</v>
      </c>
      <c r="G66" s="100">
        <f t="shared" si="3"/>
        <v>4733.29</v>
      </c>
      <c r="H66" s="386"/>
      <c r="I66" s="386"/>
      <c r="J66" s="369"/>
      <c r="K66" s="358"/>
      <c r="L66" s="351"/>
    </row>
    <row r="67" spans="1:12" ht="13">
      <c r="A67" s="351"/>
      <c r="B67" s="351"/>
      <c r="C67" s="386" t="s">
        <v>506</v>
      </c>
      <c r="D67" s="100">
        <f t="shared" si="2"/>
        <v>421995179.81</v>
      </c>
      <c r="E67" s="386"/>
      <c r="F67" s="386" t="s">
        <v>507</v>
      </c>
      <c r="G67" s="100">
        <f t="shared" si="3"/>
        <v>2098.86</v>
      </c>
      <c r="H67" s="386"/>
      <c r="I67" s="386"/>
      <c r="J67" s="369"/>
      <c r="K67" s="358"/>
      <c r="L67" s="351"/>
    </row>
    <row r="68" spans="1:12" ht="13">
      <c r="A68" s="351"/>
      <c r="B68" s="351"/>
      <c r="C68" s="386">
        <v>50</v>
      </c>
      <c r="D68" s="100">
        <f t="shared" si="2"/>
        <v>410534131.56999999</v>
      </c>
      <c r="E68" s="386"/>
      <c r="F68" s="386">
        <v>100</v>
      </c>
      <c r="G68" s="100">
        <f t="shared" si="3"/>
        <v>1239.3900000000001</v>
      </c>
      <c r="H68" s="386"/>
      <c r="I68" s="386"/>
      <c r="J68" s="369"/>
      <c r="K68" s="358"/>
      <c r="L68" s="351"/>
    </row>
    <row r="69" spans="1:12">
      <c r="A69" s="351"/>
      <c r="B69" s="413"/>
      <c r="C69" s="414"/>
      <c r="D69" s="414"/>
      <c r="E69" s="414"/>
      <c r="F69" s="414"/>
      <c r="G69" s="414"/>
      <c r="H69" s="414"/>
      <c r="I69" s="414"/>
      <c r="J69" s="415"/>
      <c r="K69" s="358"/>
      <c r="L69" s="351"/>
    </row>
    <row r="70" spans="1:12">
      <c r="A70" s="413"/>
      <c r="B70" s="414"/>
      <c r="C70" s="414"/>
      <c r="D70" s="414"/>
      <c r="E70" s="414"/>
      <c r="F70" s="414"/>
      <c r="G70" s="414"/>
      <c r="H70" s="414"/>
      <c r="I70" s="414"/>
      <c r="J70" s="414"/>
      <c r="K70" s="415"/>
      <c r="L70" s="351"/>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0"/>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26"/>
      <c r="E1" s="44"/>
      <c r="F1" s="44"/>
      <c r="G1" s="44"/>
      <c r="H1" s="44"/>
      <c r="I1" s="44"/>
      <c r="J1" s="44"/>
      <c r="K1" s="44"/>
      <c r="L1" s="44"/>
      <c r="M1" s="44"/>
      <c r="N1" s="44"/>
      <c r="O1" s="44"/>
      <c r="P1" s="44"/>
      <c r="Q1" s="44"/>
      <c r="R1" s="44"/>
      <c r="S1" s="44"/>
      <c r="T1" s="113"/>
    </row>
    <row r="2" spans="1:20" ht="18">
      <c r="A2" s="114"/>
      <c r="C2" s="42" t="str">
        <f>'Cover Sheet'!B2</f>
        <v>SC Germany Consumer 2024-2</v>
      </c>
      <c r="D2" s="115" t="str">
        <f>'Cover Sheet'!D2</f>
        <v>Calculation Date</v>
      </c>
      <c r="E2" s="116"/>
      <c r="F2" s="117">
        <f>'Cover Sheet'!F2</f>
        <v>45848</v>
      </c>
      <c r="G2" s="116"/>
      <c r="H2" s="116"/>
      <c r="I2" s="116"/>
      <c r="J2" s="118"/>
      <c r="T2" s="316"/>
    </row>
    <row r="3" spans="1:20" ht="18">
      <c r="A3" s="114"/>
      <c r="C3" s="42" t="str">
        <f>'Cover Sheet'!B3</f>
        <v>Monthly Investor Report</v>
      </c>
      <c r="D3" s="121" t="str">
        <f>'Cover Sheet'!D3</f>
        <v>Payment Date</v>
      </c>
      <c r="E3" s="122"/>
      <c r="F3" s="123">
        <f>'Cover Sheet'!F3</f>
        <v>45852</v>
      </c>
      <c r="G3" s="122"/>
      <c r="H3" s="122"/>
      <c r="I3" s="122"/>
      <c r="J3" s="124"/>
      <c r="T3" s="134"/>
    </row>
    <row r="4" spans="1:20" ht="13">
      <c r="A4" s="114"/>
      <c r="C4" s="120"/>
      <c r="D4" s="121" t="str">
        <f>'Cover Sheet'!D4</f>
        <v>Period  No</v>
      </c>
      <c r="E4" s="122"/>
      <c r="F4" s="126">
        <f>'Cover Sheet'!F4</f>
        <v>8</v>
      </c>
      <c r="G4" s="122"/>
      <c r="H4" s="127"/>
      <c r="I4" s="127"/>
      <c r="J4" s="128"/>
      <c r="T4" s="316"/>
    </row>
    <row r="5" spans="1:20" ht="18">
      <c r="A5" s="114"/>
      <c r="C5" s="129" t="s">
        <v>363</v>
      </c>
      <c r="D5" s="121" t="str">
        <f>'Cover Sheet'!D5</f>
        <v>Monthly Period</v>
      </c>
      <c r="E5" s="122"/>
      <c r="F5" s="130">
        <f>'Cover Sheet'!F5</f>
        <v>45852</v>
      </c>
      <c r="G5" s="122"/>
      <c r="H5" s="127"/>
      <c r="I5" s="127"/>
      <c r="J5" s="128"/>
      <c r="T5" s="134"/>
    </row>
    <row r="6" spans="1:20" ht="15" customHeight="1">
      <c r="A6" s="114"/>
      <c r="C6" s="131"/>
      <c r="D6" s="121" t="str">
        <f>'Cover Sheet'!D6</f>
        <v>Interest Period</v>
      </c>
      <c r="E6" s="130" t="s">
        <v>34</v>
      </c>
      <c r="F6" s="123">
        <f>'Cover Sheet'!F6</f>
        <v>45824</v>
      </c>
      <c r="G6" s="132" t="str">
        <f>'Cover Sheet'!G6</f>
        <v>to</v>
      </c>
      <c r="H6" s="123">
        <f>'Cover Sheet'!H6</f>
        <v>45852</v>
      </c>
      <c r="I6" s="123" t="str">
        <f>'Cover Sheet'!I6</f>
        <v>=</v>
      </c>
      <c r="J6" s="327" t="str">
        <f>'Cover Sheet'!J6</f>
        <v>28 days</v>
      </c>
      <c r="T6" s="134"/>
    </row>
    <row r="7" spans="1:20" ht="13">
      <c r="A7" s="114"/>
      <c r="D7" s="136" t="str">
        <f>'Cover Sheet'!D7</f>
        <v>Collection Period</v>
      </c>
      <c r="E7" s="137" t="s">
        <v>34</v>
      </c>
      <c r="F7" s="138" t="str">
        <f>'Cover Sheet'!F7</f>
        <v>01.06.2025</v>
      </c>
      <c r="G7" s="137" t="str">
        <f>'Cover Sheet'!G7</f>
        <v>to</v>
      </c>
      <c r="H7" s="138">
        <f>'Cover Sheet'!H7</f>
        <v>45838</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18"/>
      <c r="J11" s="318"/>
      <c r="K11" s="318"/>
      <c r="L11" s="318"/>
      <c r="T11" s="119"/>
    </row>
    <row r="12" spans="1:20">
      <c r="A12" s="114"/>
      <c r="T12" s="119"/>
    </row>
    <row r="13" spans="1:20" ht="18">
      <c r="A13" s="114"/>
      <c r="B13" s="42" t="s">
        <v>352</v>
      </c>
      <c r="C13" s="42"/>
      <c r="G13" s="42"/>
      <c r="I13" s="42" t="s">
        <v>353</v>
      </c>
      <c r="T13" s="119"/>
    </row>
    <row r="14" spans="1:20" ht="10.5" customHeight="1">
      <c r="A14" s="114"/>
      <c r="B14" s="112"/>
      <c r="C14" s="44"/>
      <c r="D14" s="326"/>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35">
        <f>VLOOKUP("Interest_collections",calcdata,2,0)</f>
        <v>6899913.2800000003</v>
      </c>
      <c r="I15" s="329" t="s">
        <v>301</v>
      </c>
      <c r="J15" s="329"/>
      <c r="K15" s="329"/>
      <c r="L15" s="99" t="s">
        <v>223</v>
      </c>
      <c r="M15" s="328">
        <f>VLOOKUP("Principal_collections",calcdata,2,0)</f>
        <v>25704819.489999998</v>
      </c>
      <c r="S15" s="119"/>
      <c r="T15" s="119"/>
    </row>
    <row r="16" spans="1:20" ht="13.5" customHeight="1">
      <c r="A16" s="114"/>
      <c r="B16" s="114"/>
      <c r="C16" s="18" t="s">
        <v>378</v>
      </c>
      <c r="D16" s="99" t="s">
        <v>223</v>
      </c>
      <c r="E16" s="835">
        <f>VLOOKUP("Other_interest_Payments",calcdata,2,0)</f>
        <v>0</v>
      </c>
      <c r="I16" s="329" t="s">
        <v>703</v>
      </c>
      <c r="J16" s="329"/>
      <c r="K16" s="329"/>
      <c r="L16" s="99" t="s">
        <v>223</v>
      </c>
      <c r="M16" s="328">
        <f>VLOOKUP("Other_Principal_amount",calcdata,2,0)</f>
        <v>0</v>
      </c>
      <c r="S16" s="119"/>
      <c r="T16" s="119"/>
    </row>
    <row r="17" spans="1:20" ht="13.5" customHeight="1">
      <c r="A17" s="114"/>
      <c r="B17" s="114"/>
      <c r="C17" s="18" t="s">
        <v>515</v>
      </c>
      <c r="D17" s="99" t="s">
        <v>223</v>
      </c>
      <c r="E17" s="835">
        <f>VLOOKUP("Recoveries_received",calcdata,2,0)</f>
        <v>2364.61</v>
      </c>
      <c r="I17" s="329" t="s">
        <v>379</v>
      </c>
      <c r="J17" s="329"/>
      <c r="K17" s="329"/>
      <c r="L17" s="99" t="s">
        <v>223</v>
      </c>
      <c r="M17" s="328">
        <f>VLOOKUP("Final_Repurchase_Price",calcdata,2,0)</f>
        <v>0</v>
      </c>
      <c r="S17" s="119"/>
      <c r="T17" s="119"/>
    </row>
    <row r="18" spans="1:20" ht="13.5" customHeight="1">
      <c r="A18" s="114"/>
      <c r="B18" s="114"/>
      <c r="C18" s="18" t="s">
        <v>516</v>
      </c>
      <c r="D18" s="99" t="s">
        <v>223</v>
      </c>
      <c r="E18" s="835">
        <f>VLOOKUP("Interests_earned_Transaction_Purchase_Shortfall_Account",calcdata,2,0)</f>
        <v>0.02</v>
      </c>
      <c r="I18" s="329" t="s">
        <v>380</v>
      </c>
      <c r="J18" s="329"/>
      <c r="K18" s="329"/>
      <c r="L18" s="99" t="s">
        <v>223</v>
      </c>
      <c r="M18" s="328">
        <f>VLOOKUP("Amounts_credit_Com_Reserve_Account",calcdata,2,0)</f>
        <v>0</v>
      </c>
      <c r="S18" s="119"/>
      <c r="T18" s="119"/>
    </row>
    <row r="19" spans="1:20" ht="13.5" customHeight="1">
      <c r="A19" s="114"/>
      <c r="B19" s="114"/>
      <c r="C19" s="18" t="s">
        <v>796</v>
      </c>
      <c r="D19" s="99" t="s">
        <v>223</v>
      </c>
      <c r="E19" s="835">
        <f>VLOOKUP("Amounts_ComReserve_Account",calcdata,2,0)</f>
        <v>0</v>
      </c>
      <c r="I19" s="329" t="s">
        <v>521</v>
      </c>
      <c r="J19" s="329"/>
      <c r="K19" s="329"/>
      <c r="L19" s="99" t="s">
        <v>223</v>
      </c>
      <c r="M19" s="328">
        <f>VLOOKUP("Amounts_credit_SettOff_Reserve_Account",calcdata,2,0)</f>
        <v>0</v>
      </c>
      <c r="S19" s="119"/>
      <c r="T19" s="119"/>
    </row>
    <row r="20" spans="1:20" ht="13.5" customHeight="1">
      <c r="A20" s="114"/>
      <c r="B20" s="114"/>
      <c r="C20" s="18" t="s">
        <v>517</v>
      </c>
      <c r="D20" s="99" t="s">
        <v>223</v>
      </c>
      <c r="E20" s="835">
        <f>VLOOKUP("Amounts_Liqudity_Reserve_Account",calcdata,2,0)</f>
        <v>14986929.470000001</v>
      </c>
      <c r="I20" s="329" t="s">
        <v>694</v>
      </c>
      <c r="J20" s="329"/>
      <c r="K20" s="329"/>
      <c r="L20" s="99" t="s">
        <v>223</v>
      </c>
      <c r="M20" s="328">
        <f>VLOOKUP("Amounts_credit_Purchase_Shortfall_Account",calcdata,2,0)</f>
        <v>37.840000000000003</v>
      </c>
      <c r="S20" s="119"/>
      <c r="T20" s="119"/>
    </row>
    <row r="21" spans="1:20" ht="13.5" customHeight="1">
      <c r="A21" s="114"/>
      <c r="B21" s="114"/>
      <c r="C21" s="18" t="s">
        <v>518</v>
      </c>
      <c r="D21" s="99" t="s">
        <v>223</v>
      </c>
      <c r="E21" s="835">
        <f>VLOOKUP("Interests_paid_Swap_Counterparty",calcdata,2,0)</f>
        <v>0</v>
      </c>
      <c r="I21" s="329" t="s">
        <v>381</v>
      </c>
      <c r="J21" s="329"/>
      <c r="K21" s="329"/>
      <c r="L21" s="99" t="s">
        <v>223</v>
      </c>
      <c r="M21" s="328">
        <f>VLOOKUP("Mezzanine_loan_disbursement",calcdata,2,0)</f>
        <v>0</v>
      </c>
      <c r="S21" s="119"/>
      <c r="T21" s="119"/>
    </row>
    <row r="22" spans="1:20" ht="13.5" customHeight="1">
      <c r="A22" s="114"/>
      <c r="B22" s="114"/>
      <c r="C22" s="18" t="s">
        <v>693</v>
      </c>
      <c r="D22" s="99" t="s">
        <v>223</v>
      </c>
      <c r="E22" s="835">
        <f>VLOOKUP("Principal_addition_amounts",calcdata,2,0)</f>
        <v>0</v>
      </c>
      <c r="I22" s="329" t="s">
        <v>382</v>
      </c>
      <c r="J22" s="329"/>
      <c r="K22" s="329"/>
      <c r="L22" s="99" t="s">
        <v>223</v>
      </c>
      <c r="M22" s="328">
        <f>VLOOKUP("PDL",calcdata,2,0)</f>
        <v>1713133.53</v>
      </c>
      <c r="S22" s="119"/>
      <c r="T22" s="119"/>
    </row>
    <row r="23" spans="1:20" ht="13.5" customHeight="1" thickBot="1">
      <c r="A23" s="114"/>
      <c r="B23" s="114"/>
      <c r="C23" s="18" t="s">
        <v>520</v>
      </c>
      <c r="D23" s="99" t="s">
        <v>223</v>
      </c>
      <c r="E23" s="835">
        <f>VLOOKUP("Other_amounts_paid_Interests",calcdata,2,0)</f>
        <v>0</v>
      </c>
      <c r="I23" s="789" t="s">
        <v>520</v>
      </c>
      <c r="J23" s="329"/>
      <c r="K23" s="329"/>
      <c r="L23" s="99" t="s">
        <v>223</v>
      </c>
      <c r="M23" s="788">
        <f>VLOOKUP("Other_amounts_paid_Principal",calcdata,2,0)</f>
        <v>0</v>
      </c>
      <c r="S23" s="119"/>
      <c r="T23" s="119"/>
    </row>
    <row r="24" spans="1:20" ht="13.5" customHeight="1" thickTop="1" thickBot="1">
      <c r="A24" s="114"/>
      <c r="B24" s="114"/>
      <c r="C24" s="18" t="s">
        <v>519</v>
      </c>
      <c r="D24" s="99" t="s">
        <v>223</v>
      </c>
      <c r="E24" s="836">
        <f>VLOOKUP("Remaining_PreEnforcement_available_Principal_amount",calcdata,2,0)</f>
        <v>0</v>
      </c>
      <c r="I24" s="329" t="s">
        <v>221</v>
      </c>
      <c r="J24" s="329"/>
      <c r="K24" s="329"/>
      <c r="L24" s="99" t="s">
        <v>15</v>
      </c>
      <c r="M24" s="328">
        <f>VLOOKUP("Available_Principal_amount",calcdata,2,0)</f>
        <v>27417990.859999999</v>
      </c>
      <c r="S24" s="119"/>
      <c r="T24" s="119"/>
    </row>
    <row r="25" spans="1:20" ht="13.5" customHeight="1" thickTop="1">
      <c r="A25" s="114"/>
      <c r="B25" s="114"/>
      <c r="C25" s="18" t="s">
        <v>220</v>
      </c>
      <c r="D25" s="99" t="s">
        <v>15</v>
      </c>
      <c r="E25" s="837">
        <f>VLOOKUP("Available_Interest_amount",calcdata,2,0)</f>
        <v>21889207.379999999</v>
      </c>
      <c r="S25" s="119"/>
      <c r="T25" s="119"/>
    </row>
    <row r="26" spans="1:20" ht="13.5" customHeight="1">
      <c r="A26" s="114"/>
      <c r="B26" s="114"/>
      <c r="J26" s="329"/>
      <c r="K26" s="329"/>
      <c r="S26" s="119"/>
      <c r="T26" s="119"/>
    </row>
    <row r="27" spans="1:20" ht="13.5" customHeight="1">
      <c r="A27" s="114"/>
      <c r="B27" s="114"/>
      <c r="E27" s="331"/>
      <c r="I27" s="329"/>
      <c r="J27" s="329"/>
      <c r="K27" s="329"/>
      <c r="L27" s="99"/>
      <c r="M27" s="331"/>
      <c r="S27" s="119"/>
      <c r="T27" s="119"/>
    </row>
    <row r="28" spans="1:20">
      <c r="A28" s="114"/>
      <c r="B28" s="150"/>
      <c r="C28" s="51" t="s">
        <v>530</v>
      </c>
      <c r="D28" s="332"/>
      <c r="E28" s="51"/>
      <c r="F28" s="51"/>
      <c r="G28" s="51"/>
      <c r="H28" s="51"/>
      <c r="I28" s="51"/>
      <c r="J28" s="51"/>
      <c r="K28" s="51"/>
      <c r="L28" s="332"/>
      <c r="M28" s="51"/>
      <c r="N28" s="51"/>
      <c r="O28" s="51"/>
      <c r="P28" s="51"/>
      <c r="Q28" s="51"/>
      <c r="R28" s="51"/>
      <c r="S28" s="152"/>
      <c r="T28" s="119"/>
    </row>
    <row r="29" spans="1:20">
      <c r="A29" s="114"/>
      <c r="L29" s="99"/>
      <c r="T29" s="119"/>
    </row>
    <row r="30" spans="1:20" ht="18">
      <c r="A30" s="114"/>
      <c r="B30" s="42" t="s">
        <v>371</v>
      </c>
      <c r="C30" s="42"/>
      <c r="E30" s="199"/>
      <c r="F30" s="199"/>
      <c r="G30" s="42"/>
      <c r="H30" s="168"/>
      <c r="I30" s="42" t="s">
        <v>372</v>
      </c>
      <c r="J30" s="168"/>
      <c r="K30" s="168"/>
      <c r="L30" s="333"/>
      <c r="M30" s="111"/>
      <c r="N30" s="111"/>
      <c r="O30" s="111"/>
      <c r="P30" s="111"/>
      <c r="Q30" s="111"/>
      <c r="R30" s="111"/>
      <c r="T30" s="119"/>
    </row>
    <row r="31" spans="1:20" ht="10.5" customHeight="1">
      <c r="A31" s="114"/>
      <c r="B31" s="112"/>
      <c r="C31" s="334"/>
      <c r="D31" s="326"/>
      <c r="E31" s="335"/>
      <c r="F31" s="335"/>
      <c r="G31" s="336"/>
      <c r="H31" s="337"/>
      <c r="I31" s="336"/>
      <c r="J31" s="337"/>
      <c r="K31" s="337"/>
      <c r="L31" s="338"/>
      <c r="M31" s="339"/>
      <c r="N31" s="339"/>
      <c r="O31" s="339"/>
      <c r="P31" s="339"/>
      <c r="Q31" s="339"/>
      <c r="R31" s="339"/>
      <c r="S31" s="113"/>
      <c r="T31" s="119"/>
    </row>
    <row r="32" spans="1:20" ht="15" customHeight="1">
      <c r="A32" s="114"/>
      <c r="B32" s="114"/>
      <c r="C32" s="18" t="s">
        <v>220</v>
      </c>
      <c r="D32" s="84"/>
      <c r="E32" s="331">
        <f>VLOOKUP("Available_Interest_amount",calcdata,2,0)</f>
        <v>21889207.379999999</v>
      </c>
      <c r="F32" s="261"/>
      <c r="H32" s="262"/>
      <c r="I32" s="329" t="s">
        <v>221</v>
      </c>
      <c r="J32" s="329"/>
      <c r="K32" s="329"/>
      <c r="L32" s="263"/>
      <c r="M32" s="832">
        <f>VLOOKUP("Available_Principal_amount",calcdata,2,0)</f>
        <v>27417990.859999999</v>
      </c>
      <c r="N32" s="168"/>
      <c r="O32" s="168"/>
      <c r="P32" s="168"/>
      <c r="Q32" s="168"/>
      <c r="R32" s="168"/>
      <c r="S32" s="119"/>
      <c r="T32" s="119"/>
    </row>
    <row r="33" spans="1:20" ht="15" customHeight="1">
      <c r="A33" s="114"/>
      <c r="B33" s="114"/>
      <c r="C33" s="18" t="s">
        <v>287</v>
      </c>
      <c r="D33" s="85" t="s">
        <v>35</v>
      </c>
      <c r="E33" s="331">
        <f>VLOOKUP("Senior_Expenses",calcdata,2,0)</f>
        <v>416.67</v>
      </c>
      <c r="F33" s="264"/>
      <c r="H33" s="266"/>
      <c r="I33" s="329" t="s">
        <v>288</v>
      </c>
      <c r="J33" s="329"/>
      <c r="K33" s="329"/>
      <c r="L33" s="265" t="s">
        <v>35</v>
      </c>
      <c r="M33" s="832">
        <f>VLOOKUP("Addition_amounts",calcdata,2,0)</f>
        <v>0</v>
      </c>
      <c r="N33" s="206"/>
      <c r="O33" s="206"/>
      <c r="P33" s="206"/>
      <c r="Q33" s="206"/>
      <c r="R33" s="206"/>
      <c r="S33" s="119"/>
      <c r="T33" s="119"/>
    </row>
    <row r="34" spans="1:20" ht="15" customHeight="1">
      <c r="A34" s="114"/>
      <c r="B34" s="114"/>
      <c r="C34" s="18" t="s">
        <v>695</v>
      </c>
      <c r="D34" s="85" t="s">
        <v>35</v>
      </c>
      <c r="E34" s="331">
        <f>VLOOKUP("Replacement_servicer_fee_reserve",calcdata,2,0)</f>
        <v>0</v>
      </c>
      <c r="F34" s="264"/>
      <c r="H34" s="266"/>
      <c r="I34" s="329" t="s">
        <v>373</v>
      </c>
      <c r="J34" s="329"/>
      <c r="K34" s="329"/>
      <c r="L34" s="99" t="s">
        <v>15</v>
      </c>
      <c r="M34" s="832">
        <f>VLOOKUP("Net_note_available_Principal_Proceeds",calcdata,2,0)</f>
        <v>27417990.859999999</v>
      </c>
      <c r="N34" s="206"/>
      <c r="O34" s="206"/>
      <c r="P34" s="206"/>
      <c r="Q34" s="206"/>
      <c r="R34" s="206"/>
      <c r="S34" s="119"/>
      <c r="T34" s="119"/>
    </row>
    <row r="35" spans="1:20" ht="15" customHeight="1">
      <c r="A35" s="114"/>
      <c r="B35" s="114"/>
      <c r="C35" s="18" t="s">
        <v>289</v>
      </c>
      <c r="D35" s="85" t="s">
        <v>35</v>
      </c>
      <c r="E35" s="331">
        <f>VLOOKUP("Swap_payment",calcdata,2,0)</f>
        <v>203181.59</v>
      </c>
      <c r="F35" s="264"/>
      <c r="H35" s="266"/>
      <c r="I35" s="329" t="s">
        <v>225</v>
      </c>
      <c r="J35" s="329"/>
      <c r="K35" s="329"/>
      <c r="L35" s="265" t="s">
        <v>35</v>
      </c>
      <c r="M35" s="832">
        <f>VLOOKUP("Replenishment",calcdata,2,0)</f>
        <v>0</v>
      </c>
      <c r="N35" s="206"/>
      <c r="O35" s="206"/>
      <c r="P35" s="206"/>
      <c r="Q35" s="206"/>
      <c r="R35" s="206"/>
      <c r="S35" s="119"/>
      <c r="T35" s="119"/>
    </row>
    <row r="36" spans="1:20" ht="15" customHeight="1">
      <c r="A36" s="114"/>
      <c r="B36" s="114"/>
      <c r="C36" s="18" t="s">
        <v>224</v>
      </c>
      <c r="D36" s="85" t="s">
        <v>35</v>
      </c>
      <c r="E36" s="331">
        <f>VLOOKUP("A_interest_amount_notes",calcdata,2,0)</f>
        <v>1641105.75</v>
      </c>
      <c r="F36" s="264"/>
      <c r="H36" s="266"/>
      <c r="I36" s="329" t="s">
        <v>137</v>
      </c>
      <c r="J36" s="329"/>
      <c r="K36" s="329"/>
      <c r="L36" s="265" t="s">
        <v>35</v>
      </c>
      <c r="M36" s="832">
        <f>VLOOKUP("Purchase_Shortfall",calcdata,2,0)</f>
        <v>0</v>
      </c>
      <c r="N36" s="206"/>
      <c r="O36" s="206"/>
      <c r="P36" s="206"/>
      <c r="Q36" s="206"/>
      <c r="R36" s="206"/>
      <c r="S36" s="119"/>
      <c r="T36" s="119"/>
    </row>
    <row r="37" spans="1:20" ht="15" customHeight="1">
      <c r="A37" s="114"/>
      <c r="B37" s="114"/>
      <c r="C37" s="18" t="s">
        <v>529</v>
      </c>
      <c r="D37" s="85" t="s">
        <v>35</v>
      </c>
      <c r="E37" s="331">
        <f>VLOOKUP("B_interest_amount_notes",calcdata,2,0)</f>
        <v>139626</v>
      </c>
      <c r="F37" s="264"/>
      <c r="H37" s="266"/>
      <c r="I37" s="18" t="s">
        <v>740</v>
      </c>
      <c r="L37" s="265" t="s">
        <v>35</v>
      </c>
      <c r="M37" s="833">
        <f>VLOOKUP("A_sequential_Principal",calcdata,2,0)</f>
        <v>27417983</v>
      </c>
      <c r="N37" s="206"/>
      <c r="O37" s="206"/>
      <c r="P37" s="206"/>
      <c r="Q37" s="206"/>
      <c r="R37" s="206"/>
      <c r="S37" s="119"/>
      <c r="T37" s="119"/>
    </row>
    <row r="38" spans="1:20" ht="15" customHeight="1">
      <c r="A38" s="114"/>
      <c r="B38" s="114"/>
      <c r="C38" s="18" t="s">
        <v>290</v>
      </c>
      <c r="D38" s="85" t="s">
        <v>35</v>
      </c>
      <c r="E38" s="331">
        <f>VLOOKUP("C_interest_amount_notes",calcdata,2,0)</f>
        <v>83213</v>
      </c>
      <c r="F38" s="264"/>
      <c r="H38" s="266"/>
      <c r="I38" s="18" t="s">
        <v>734</v>
      </c>
      <c r="L38" s="265" t="s">
        <v>35</v>
      </c>
      <c r="M38" s="833">
        <f>VLOOKUP("A_prorata_Principal",calcdata,2,0)</f>
        <v>0</v>
      </c>
      <c r="N38" s="206"/>
      <c r="O38" s="206"/>
      <c r="P38" s="206"/>
      <c r="Q38" s="206"/>
      <c r="R38" s="206"/>
      <c r="S38" s="119"/>
      <c r="T38" s="119"/>
    </row>
    <row r="39" spans="1:20" ht="15" customHeight="1">
      <c r="A39" s="114"/>
      <c r="B39" s="114"/>
      <c r="C39" s="18" t="s">
        <v>292</v>
      </c>
      <c r="D39" s="85" t="s">
        <v>35</v>
      </c>
      <c r="E39" s="331">
        <f>VLOOKUP("D_interest_amount_notes",calcdata,2,0)</f>
        <v>76829.5</v>
      </c>
      <c r="F39" s="264"/>
      <c r="H39" s="266"/>
      <c r="I39" s="18" t="s">
        <v>735</v>
      </c>
      <c r="L39" s="265" t="s">
        <v>35</v>
      </c>
      <c r="M39" s="833">
        <f>VLOOKUP("B_prorata_Principal",calcdata,2,0)</f>
        <v>0</v>
      </c>
      <c r="N39" s="206"/>
      <c r="O39" s="206"/>
      <c r="P39" s="206"/>
      <c r="Q39" s="206"/>
      <c r="R39" s="206"/>
      <c r="S39" s="119"/>
      <c r="T39" s="119"/>
    </row>
    <row r="40" spans="1:20" ht="15" customHeight="1">
      <c r="A40" s="114"/>
      <c r="B40" s="114"/>
      <c r="C40" s="18" t="s">
        <v>293</v>
      </c>
      <c r="D40" s="85" t="s">
        <v>35</v>
      </c>
      <c r="E40" s="331">
        <f>VLOOKUP("E_interest_amount_notes",calcdata,2,0)</f>
        <v>109980.75</v>
      </c>
      <c r="F40" s="264"/>
      <c r="H40" s="266"/>
      <c r="I40" s="18" t="s">
        <v>736</v>
      </c>
      <c r="J40" s="329"/>
      <c r="K40" s="329"/>
      <c r="L40" s="265" t="s">
        <v>35</v>
      </c>
      <c r="M40" s="832">
        <f>VLOOKUP("c_prorata_Principal",calcdata,2,0)</f>
        <v>0</v>
      </c>
      <c r="N40" s="206"/>
      <c r="O40" s="206"/>
      <c r="P40" s="206"/>
      <c r="Q40" s="206"/>
      <c r="R40" s="206"/>
      <c r="S40" s="119"/>
      <c r="T40" s="119"/>
    </row>
    <row r="41" spans="1:20" ht="15" customHeight="1">
      <c r="A41" s="114"/>
      <c r="B41" s="114"/>
      <c r="C41" s="18" t="s">
        <v>294</v>
      </c>
      <c r="D41" s="85" t="s">
        <v>35</v>
      </c>
      <c r="E41" s="331">
        <f>VLOOKUP("F_interest_amount_notes",calcdata,2,0)</f>
        <v>21277</v>
      </c>
      <c r="F41" s="264"/>
      <c r="H41" s="266"/>
      <c r="I41" s="18" t="s">
        <v>737</v>
      </c>
      <c r="L41" s="265" t="s">
        <v>35</v>
      </c>
      <c r="M41" s="833">
        <f>VLOOKUP("d_prorata_Principal",calcdata,2,0)</f>
        <v>0</v>
      </c>
      <c r="N41" s="206"/>
      <c r="O41" s="206"/>
      <c r="P41" s="206"/>
      <c r="Q41" s="206"/>
      <c r="R41" s="206"/>
      <c r="S41" s="119"/>
      <c r="T41" s="119"/>
    </row>
    <row r="42" spans="1:20" ht="15" customHeight="1">
      <c r="A42" s="114"/>
      <c r="B42" s="114"/>
      <c r="C42" s="18" t="s">
        <v>724</v>
      </c>
      <c r="D42" s="85" t="s">
        <v>35</v>
      </c>
      <c r="E42" s="331">
        <f>VLOOKUP("Liquidity_Reserve_Account",calcdata,2,0)</f>
        <v>14529113.8737</v>
      </c>
      <c r="F42" s="264"/>
      <c r="H42" s="266"/>
      <c r="I42" s="18" t="s">
        <v>738</v>
      </c>
      <c r="L42" s="265" t="s">
        <v>35</v>
      </c>
      <c r="M42" s="833">
        <f>VLOOKUP("e_prorata_Principal",calcdata,2,0)</f>
        <v>0</v>
      </c>
      <c r="N42" s="206"/>
      <c r="O42" s="206"/>
      <c r="P42" s="206"/>
      <c r="Q42" s="206"/>
      <c r="R42" s="206"/>
      <c r="S42" s="119"/>
      <c r="T42" s="119"/>
    </row>
    <row r="43" spans="1:20" ht="15" customHeight="1">
      <c r="A43" s="114"/>
      <c r="B43" s="114"/>
      <c r="C43" s="18" t="s">
        <v>295</v>
      </c>
      <c r="D43" s="85" t="s">
        <v>35</v>
      </c>
      <c r="E43" s="331">
        <f>VLOOKUP("Elimination_PDL",calcdata,2,0)</f>
        <v>1713133.53</v>
      </c>
      <c r="F43" s="264"/>
      <c r="H43" s="266"/>
      <c r="I43" s="18" t="s">
        <v>291</v>
      </c>
      <c r="L43" s="265" t="s">
        <v>35</v>
      </c>
      <c r="M43" s="833">
        <f>VLOOKUP("A_sequential_Principal_after_Trigger",calcdata,2,0)</f>
        <v>0</v>
      </c>
      <c r="N43" s="206"/>
      <c r="O43" s="206"/>
      <c r="P43" s="206"/>
      <c r="Q43" s="206"/>
      <c r="R43" s="206"/>
      <c r="S43" s="119"/>
      <c r="T43" s="119"/>
    </row>
    <row r="44" spans="1:20" ht="15" customHeight="1">
      <c r="A44" s="114"/>
      <c r="B44" s="114"/>
      <c r="C44" s="18" t="s">
        <v>296</v>
      </c>
      <c r="D44" s="85" t="s">
        <v>35</v>
      </c>
      <c r="E44" s="331">
        <f>VLOOKUP("B_Interests_notes",calcdata,2,0)</f>
        <v>0</v>
      </c>
      <c r="F44" s="264"/>
      <c r="H44" s="266"/>
      <c r="I44" s="329" t="s">
        <v>741</v>
      </c>
      <c r="J44" s="329"/>
      <c r="K44" s="329"/>
      <c r="L44" s="265" t="s">
        <v>35</v>
      </c>
      <c r="M44" s="832">
        <f>VLOOKUP("Full_Redemption_B_F",calcdata,2,0)</f>
        <v>0</v>
      </c>
      <c r="N44" s="206"/>
      <c r="O44" s="206"/>
      <c r="P44" s="206"/>
      <c r="Q44" s="206"/>
      <c r="R44" s="206"/>
      <c r="S44" s="119"/>
      <c r="T44" s="119"/>
    </row>
    <row r="45" spans="1:20" ht="15" customHeight="1">
      <c r="A45" s="114"/>
      <c r="B45" s="114"/>
      <c r="C45" s="18" t="s">
        <v>297</v>
      </c>
      <c r="D45" s="85" t="s">
        <v>35</v>
      </c>
      <c r="E45" s="331">
        <f>VLOOKUP("C_Interests_notes",calcdata,2,0)</f>
        <v>0</v>
      </c>
      <c r="F45" s="264"/>
      <c r="H45" s="266"/>
      <c r="I45" s="329" t="s">
        <v>742</v>
      </c>
      <c r="J45" s="329"/>
      <c r="K45" s="329"/>
      <c r="L45" s="265" t="s">
        <v>35</v>
      </c>
      <c r="M45" s="832">
        <f>VLOOKUP("B_Full_Redemption",calcdata,2,0)</f>
        <v>0</v>
      </c>
      <c r="N45" s="206"/>
      <c r="O45" s="206"/>
      <c r="P45" s="206"/>
      <c r="Q45" s="206"/>
      <c r="R45" s="206"/>
      <c r="S45" s="119"/>
      <c r="T45" s="119"/>
    </row>
    <row r="46" spans="1:20" ht="15" customHeight="1">
      <c r="A46" s="114"/>
      <c r="B46" s="114"/>
      <c r="C46" s="18" t="s">
        <v>298</v>
      </c>
      <c r="D46" s="85" t="s">
        <v>35</v>
      </c>
      <c r="E46" s="331">
        <f>VLOOKUP("D_Interests_notes",calcdata,2,0)</f>
        <v>0</v>
      </c>
      <c r="F46" s="264"/>
      <c r="H46" s="266"/>
      <c r="I46" s="329" t="s">
        <v>743</v>
      </c>
      <c r="J46" s="329"/>
      <c r="K46" s="329"/>
      <c r="L46" s="265" t="s">
        <v>35</v>
      </c>
      <c r="M46" s="832">
        <f>VLOOKUP("C_Full_Redemption",calcdata,2,0)</f>
        <v>0</v>
      </c>
      <c r="N46" s="211"/>
      <c r="O46" s="211"/>
      <c r="P46" s="211"/>
      <c r="Q46" s="211"/>
      <c r="R46" s="211"/>
      <c r="S46" s="119"/>
      <c r="T46" s="119"/>
    </row>
    <row r="47" spans="1:20" ht="15" customHeight="1">
      <c r="A47" s="114"/>
      <c r="B47" s="114"/>
      <c r="C47" s="18" t="s">
        <v>299</v>
      </c>
      <c r="D47" s="85" t="s">
        <v>35</v>
      </c>
      <c r="E47" s="331">
        <f>VLOOKUP("E_Interests_notes",calcdata,2,0)</f>
        <v>0</v>
      </c>
      <c r="F47" s="264"/>
      <c r="H47" s="266"/>
      <c r="I47" s="329" t="s">
        <v>744</v>
      </c>
      <c r="J47" s="329"/>
      <c r="K47" s="329"/>
      <c r="L47" s="265" t="s">
        <v>35</v>
      </c>
      <c r="M47" s="832">
        <f>VLOOKUP("D_Full_Redemption",calcdata,2,0)</f>
        <v>0</v>
      </c>
      <c r="N47" s="211"/>
      <c r="O47" s="211"/>
      <c r="P47" s="211"/>
      <c r="Q47" s="211"/>
      <c r="R47" s="211"/>
      <c r="S47" s="119"/>
      <c r="T47" s="119"/>
    </row>
    <row r="48" spans="1:20" ht="15" customHeight="1">
      <c r="A48" s="114"/>
      <c r="B48" s="114"/>
      <c r="C48" s="18" t="s">
        <v>300</v>
      </c>
      <c r="D48" s="85" t="s">
        <v>35</v>
      </c>
      <c r="E48" s="331">
        <f>VLOOKUP("F_Interests_notes",calcdata,2,0)</f>
        <v>0</v>
      </c>
      <c r="F48" s="264"/>
      <c r="H48" s="266"/>
      <c r="I48" s="329" t="s">
        <v>745</v>
      </c>
      <c r="J48" s="329"/>
      <c r="K48" s="329"/>
      <c r="L48" s="265" t="s">
        <v>35</v>
      </c>
      <c r="M48" s="832">
        <f>VLOOKUP("E_Full_Redemption",calcdata,2,0)</f>
        <v>0</v>
      </c>
      <c r="N48" s="211"/>
      <c r="O48" s="211"/>
      <c r="P48" s="211"/>
      <c r="Q48" s="211"/>
      <c r="R48" s="211"/>
      <c r="S48" s="119"/>
      <c r="T48" s="119"/>
    </row>
    <row r="49" spans="1:20" ht="15" customHeight="1">
      <c r="A49" s="114"/>
      <c r="B49" s="114"/>
      <c r="C49" s="18" t="s">
        <v>696</v>
      </c>
      <c r="D49" s="85" t="s">
        <v>35</v>
      </c>
      <c r="E49" s="331">
        <f>VLOOKUP("F_Principal_Redemption_amount",calcdata,2,0)</f>
        <v>416666.6667</v>
      </c>
      <c r="F49" s="264"/>
      <c r="H49" s="266"/>
      <c r="I49" s="18" t="s">
        <v>746</v>
      </c>
      <c r="J49" s="329"/>
      <c r="K49" s="329"/>
      <c r="L49" s="265" t="s">
        <v>35</v>
      </c>
      <c r="M49" s="832">
        <f>VLOOKUP("F_Full_Redemption",calcdata,2,0)</f>
        <v>0</v>
      </c>
      <c r="N49" s="211"/>
      <c r="O49" s="211"/>
      <c r="P49" s="211"/>
      <c r="Q49" s="211"/>
      <c r="R49" s="211"/>
      <c r="S49" s="119"/>
      <c r="T49" s="119"/>
    </row>
    <row r="50" spans="1:20" ht="15" customHeight="1">
      <c r="A50" s="114"/>
      <c r="B50" s="114"/>
      <c r="C50" s="18" t="s">
        <v>522</v>
      </c>
      <c r="D50" s="85" t="s">
        <v>35</v>
      </c>
      <c r="E50" s="331">
        <f>VLOOKUP("Mezzanine_loan_interests",calcdata,2,0)</f>
        <v>0</v>
      </c>
      <c r="F50" s="264"/>
      <c r="H50" s="266"/>
      <c r="I50" s="329" t="s">
        <v>383</v>
      </c>
      <c r="L50" s="265" t="s">
        <v>35</v>
      </c>
      <c r="M50" s="832">
        <f>VLOOKUP("Mezzanine_loan_principal",calcdata,2,0)</f>
        <v>0</v>
      </c>
      <c r="N50" s="211"/>
      <c r="O50" s="211"/>
      <c r="P50" s="211"/>
      <c r="Q50" s="211"/>
      <c r="R50" s="211"/>
      <c r="S50" s="119"/>
      <c r="T50" s="119"/>
    </row>
    <row r="51" spans="1:20" ht="15" customHeight="1" thickBot="1">
      <c r="A51" s="114"/>
      <c r="B51" s="114"/>
      <c r="C51" s="18" t="s">
        <v>510</v>
      </c>
      <c r="D51" s="85" t="s">
        <v>35</v>
      </c>
      <c r="E51" s="331">
        <f>VLOOKUP("Termination_payment",calcdata,2,0)</f>
        <v>0</v>
      </c>
      <c r="F51" s="264"/>
      <c r="H51" s="266"/>
      <c r="I51" s="18" t="s">
        <v>699</v>
      </c>
      <c r="L51" s="265" t="s">
        <v>35</v>
      </c>
      <c r="M51" s="833">
        <f>VLOOKUP("Clearing_rounding_differences",calcdata,2,0)</f>
        <v>7.86</v>
      </c>
      <c r="N51" s="211"/>
      <c r="O51" s="211"/>
      <c r="P51" s="211"/>
      <c r="Q51" s="211"/>
      <c r="R51" s="211"/>
      <c r="S51" s="119"/>
      <c r="T51" s="119"/>
    </row>
    <row r="52" spans="1:20" ht="15" customHeight="1" thickTop="1">
      <c r="A52" s="114"/>
      <c r="B52" s="114"/>
      <c r="C52" s="18" t="s">
        <v>511</v>
      </c>
      <c r="D52" s="85" t="s">
        <v>35</v>
      </c>
      <c r="E52" s="331">
        <f>VLOOKUP("Liqudity_Reserve_Interests",calcdata,2,0)</f>
        <v>11637.5</v>
      </c>
      <c r="F52" s="264"/>
      <c r="H52" s="266"/>
      <c r="I52" s="329" t="s">
        <v>514</v>
      </c>
      <c r="J52" s="329"/>
      <c r="K52" s="329"/>
      <c r="L52" s="265" t="s">
        <v>15</v>
      </c>
      <c r="M52" s="834">
        <f>VLOOKUP("Transaction_Account_remaining_amount",calcdata,2,0)</f>
        <v>0</v>
      </c>
      <c r="N52" s="211"/>
      <c r="O52" s="211"/>
      <c r="P52" s="211"/>
      <c r="Q52" s="211"/>
      <c r="R52" s="211"/>
      <c r="S52" s="119"/>
      <c r="T52" s="119"/>
    </row>
    <row r="53" spans="1:20" ht="15" customHeight="1">
      <c r="A53" s="114"/>
      <c r="B53" s="114"/>
      <c r="C53" s="18" t="s">
        <v>512</v>
      </c>
      <c r="D53" s="85" t="s">
        <v>35</v>
      </c>
      <c r="E53" s="331">
        <f>VLOOKUP("Liqudity_Reserve_Principal",calcdata,2,0)</f>
        <v>433386.13</v>
      </c>
      <c r="F53" s="264"/>
      <c r="H53" s="266"/>
      <c r="N53" s="718"/>
      <c r="O53" s="211"/>
      <c r="P53" s="211"/>
      <c r="Q53" s="211"/>
      <c r="R53" s="211"/>
      <c r="S53" s="119"/>
      <c r="T53" s="119"/>
    </row>
    <row r="54" spans="1:20" ht="15" customHeight="1" thickBot="1">
      <c r="A54" s="114"/>
      <c r="B54" s="114"/>
      <c r="C54" s="18" t="s">
        <v>739</v>
      </c>
      <c r="D54" s="85" t="s">
        <v>35</v>
      </c>
      <c r="E54" s="331">
        <f>VLOOKUP("Credit_Replacement_Servicer_Fee",calcdata,2,0)</f>
        <v>0</v>
      </c>
      <c r="F54" s="264"/>
      <c r="G54" s="331"/>
      <c r="H54" s="266"/>
      <c r="N54" s="211"/>
      <c r="O54" s="211"/>
      <c r="P54" s="211"/>
      <c r="Q54" s="211"/>
      <c r="R54" s="211"/>
      <c r="S54" s="119"/>
      <c r="T54" s="119"/>
    </row>
    <row r="55" spans="1:20" ht="15" customHeight="1" thickTop="1">
      <c r="A55" s="114"/>
      <c r="B55" s="114"/>
      <c r="C55" s="18" t="s">
        <v>513</v>
      </c>
      <c r="D55" s="85" t="s">
        <v>15</v>
      </c>
      <c r="E55" s="330">
        <f>VLOOKUP("Remaining_amount_seller",calcdata,2,0)</f>
        <v>2509639.4196000001</v>
      </c>
      <c r="F55" s="264"/>
      <c r="H55" s="266"/>
      <c r="N55" s="211"/>
      <c r="O55" s="211"/>
      <c r="P55" s="211"/>
      <c r="Q55" s="211"/>
      <c r="R55" s="211"/>
      <c r="S55" s="119"/>
      <c r="T55" s="119"/>
    </row>
    <row r="56" spans="1:20" ht="15" customHeight="1">
      <c r="A56" s="114"/>
      <c r="B56" s="114"/>
      <c r="F56" s="264"/>
      <c r="H56" s="266"/>
      <c r="N56" s="211"/>
      <c r="O56" s="211"/>
      <c r="P56" s="211"/>
      <c r="Q56" s="211"/>
      <c r="R56" s="211"/>
      <c r="S56" s="119"/>
      <c r="T56" s="119"/>
    </row>
    <row r="57" spans="1:20" ht="13.5" customHeight="1">
      <c r="A57" s="114"/>
      <c r="B57" s="150"/>
      <c r="C57" s="26"/>
      <c r="D57" s="10"/>
      <c r="E57" s="51"/>
      <c r="F57" s="51"/>
      <c r="G57" s="51"/>
      <c r="H57" s="51"/>
      <c r="I57" s="51"/>
      <c r="J57" s="51"/>
      <c r="K57" s="51"/>
      <c r="L57" s="51"/>
      <c r="M57" s="51"/>
      <c r="N57" s="51"/>
      <c r="O57" s="51"/>
      <c r="P57" s="51"/>
      <c r="Q57" s="51"/>
      <c r="R57" s="51"/>
      <c r="S57" s="152"/>
      <c r="T57" s="119"/>
    </row>
    <row r="58" spans="1:20" ht="18" customHeight="1">
      <c r="A58" s="114"/>
      <c r="C58" s="82"/>
      <c r="D58" s="83"/>
      <c r="E58" s="44"/>
      <c r="F58" s="44"/>
      <c r="G58" s="44"/>
      <c r="H58" s="44"/>
      <c r="I58" s="44"/>
      <c r="J58" s="44"/>
      <c r="K58" s="44"/>
      <c r="L58" s="44"/>
      <c r="M58" s="44"/>
      <c r="N58" s="44"/>
      <c r="O58" s="44"/>
      <c r="P58" s="44"/>
      <c r="Q58" s="44"/>
      <c r="R58" s="44"/>
      <c r="S58" s="44"/>
      <c r="T58" s="119"/>
    </row>
    <row r="59" spans="1:20" ht="13.5" customHeight="1">
      <c r="A59" s="114"/>
      <c r="C59" s="13"/>
      <c r="D59" s="12"/>
      <c r="T59" s="119"/>
    </row>
    <row r="60" spans="1:20" ht="12.75" customHeight="1">
      <c r="A60" s="114"/>
      <c r="C60" s="42" t="s">
        <v>86</v>
      </c>
      <c r="D60" s="89" t="s">
        <v>36</v>
      </c>
      <c r="E60" s="43" t="s">
        <v>5</v>
      </c>
      <c r="F60" s="43"/>
      <c r="G60" s="43" t="s">
        <v>6</v>
      </c>
      <c r="H60" s="43"/>
      <c r="I60" s="43" t="s">
        <v>181</v>
      </c>
      <c r="J60" s="43"/>
      <c r="K60" s="43" t="s">
        <v>182</v>
      </c>
      <c r="L60" s="43"/>
      <c r="M60" s="43" t="s">
        <v>183</v>
      </c>
      <c r="N60" s="43"/>
      <c r="O60" s="43" t="s">
        <v>226</v>
      </c>
      <c r="P60" s="43"/>
      <c r="R60" s="43" t="s">
        <v>305</v>
      </c>
      <c r="S60" s="43"/>
      <c r="T60" s="119"/>
    </row>
    <row r="61" spans="1:20" ht="13.5" customHeight="1">
      <c r="A61" s="114"/>
      <c r="B61" s="112"/>
      <c r="C61" s="44" t="s">
        <v>79</v>
      </c>
      <c r="D61" s="47">
        <f>E33</f>
        <v>416.67</v>
      </c>
      <c r="E61" s="45"/>
      <c r="F61" s="45"/>
      <c r="G61" s="45"/>
      <c r="H61" s="46"/>
      <c r="I61" s="45"/>
      <c r="J61" s="46"/>
      <c r="K61" s="45"/>
      <c r="L61" s="46"/>
      <c r="M61" s="45"/>
      <c r="N61" s="45"/>
      <c r="O61" s="45"/>
      <c r="P61" s="45"/>
      <c r="Q61" s="45"/>
      <c r="R61" s="45"/>
      <c r="S61" s="340"/>
      <c r="T61" s="119"/>
    </row>
    <row r="62" spans="1:20" ht="13.5" customHeight="1">
      <c r="A62" s="114"/>
      <c r="B62" s="114"/>
      <c r="C62" s="18" t="s">
        <v>87</v>
      </c>
      <c r="D62" s="47">
        <f t="shared" ref="D62:D68" si="0">SUM(E62:R62)</f>
        <v>2083669.5</v>
      </c>
      <c r="E62" s="47">
        <f>VLOOKUP("A_Interests_accrued",calcdata,2,0)</f>
        <v>1641105.75</v>
      </c>
      <c r="F62" s="48"/>
      <c r="G62" s="47">
        <f>VLOOKUP("B_Interests_accrued",calcdata,2,0)</f>
        <v>139626</v>
      </c>
      <c r="H62" s="49"/>
      <c r="I62" s="47">
        <f>VLOOKUP("C_Interests_accrued",calcdata,2,0)</f>
        <v>83213</v>
      </c>
      <c r="J62" s="49"/>
      <c r="K62" s="47">
        <f>VLOOKUP("D_Interests_accrued",calcdata,2,0)</f>
        <v>76829.5</v>
      </c>
      <c r="L62" s="49"/>
      <c r="M62" s="47">
        <f>VLOOKUP("E_Interests_accrued",calcdata,2,0)</f>
        <v>109980.75</v>
      </c>
      <c r="N62" s="47"/>
      <c r="O62" s="47">
        <f>VLOOKUP("F_Interests_accrued",calcdata,2,0)</f>
        <v>21277</v>
      </c>
      <c r="P62" s="47"/>
      <c r="Q62" s="47">
        <f>VLOOKUP("Reserve_Interests_accrued",calcdata,2,0)</f>
        <v>11637.5</v>
      </c>
      <c r="R62" s="47"/>
      <c r="S62" s="341"/>
      <c r="T62" s="119"/>
    </row>
    <row r="63" spans="1:20" ht="13.5" customHeight="1">
      <c r="A63" s="114"/>
      <c r="B63" s="114"/>
      <c r="C63" s="18" t="s">
        <v>88</v>
      </c>
      <c r="D63" s="47">
        <f t="shared" si="0"/>
        <v>22086090.670000002</v>
      </c>
      <c r="E63" s="47">
        <f>VLOOKUP("A_Interests_accrued_cum",calcdata,2,0)</f>
        <v>17683148.25</v>
      </c>
      <c r="F63" s="48"/>
      <c r="G63" s="47">
        <f>VLOOKUP("B_Interests_accrued_cum",calcdata,2,0)</f>
        <v>1420740</v>
      </c>
      <c r="H63" s="49"/>
      <c r="I63" s="47">
        <f>VLOOKUP("C_Interests_accrued_cum",calcdata,2,0)</f>
        <v>833485.25</v>
      </c>
      <c r="J63" s="49"/>
      <c r="K63" s="47">
        <f>VLOOKUP("D_Interests_accrued_cum",calcdata,2,0)</f>
        <v>759343.75</v>
      </c>
      <c r="L63" s="49"/>
      <c r="M63" s="47">
        <f>VLOOKUP("E_Interests_accrued_cum",calcdata,2,0)</f>
        <v>1038774</v>
      </c>
      <c r="N63" s="47"/>
      <c r="O63" s="47">
        <f>VLOOKUP("F_Interests_accrued_cum",calcdata,2,0)</f>
        <v>252376</v>
      </c>
      <c r="P63" s="47"/>
      <c r="Q63" s="47">
        <f>VLOOKUP("Reserve_Interests_accrued_cum",calcdata,2,0)</f>
        <v>98223.42</v>
      </c>
      <c r="R63" s="47"/>
      <c r="S63" s="341"/>
      <c r="T63" s="119"/>
    </row>
    <row r="64" spans="1:20" ht="13.5" customHeight="1">
      <c r="A64" s="114"/>
      <c r="B64" s="114"/>
      <c r="C64" s="18" t="s">
        <v>89</v>
      </c>
      <c r="D64" s="47">
        <f t="shared" si="0"/>
        <v>2083669.5</v>
      </c>
      <c r="E64" s="47">
        <f>VLOOKUP("A_Interest_Payments",calcdata,2,0)</f>
        <v>1641105.75</v>
      </c>
      <c r="F64" s="48"/>
      <c r="G64" s="47">
        <f>VLOOKUP("B_Interest_Payments",calcdata,2,0)</f>
        <v>139626</v>
      </c>
      <c r="H64" s="50"/>
      <c r="I64" s="47">
        <f>VLOOKUP("C_Interest_Payments",calcdata,2,0)</f>
        <v>83213</v>
      </c>
      <c r="J64" s="50"/>
      <c r="K64" s="47">
        <f>VLOOKUP("D_Interest_Payments",calcdata,2,0)</f>
        <v>76829.5</v>
      </c>
      <c r="L64" s="50"/>
      <c r="M64" s="47">
        <f>VLOOKUP("E_Interest_Payments",calcdata,2,0)</f>
        <v>109980.75</v>
      </c>
      <c r="N64" s="47"/>
      <c r="O64" s="47">
        <f>VLOOKUP("F_Interest_Payments",calcdata,2,0)</f>
        <v>21277</v>
      </c>
      <c r="P64" s="47"/>
      <c r="Q64" s="47">
        <f>VLOOKUP("Reserve_Interest_Payments",calcdata,2,0)</f>
        <v>11637.5</v>
      </c>
      <c r="R64" s="47"/>
      <c r="S64" s="342"/>
      <c r="T64" s="119"/>
    </row>
    <row r="65" spans="1:20" ht="13.5" customHeight="1">
      <c r="A65" s="114"/>
      <c r="B65" s="114"/>
      <c r="C65" s="18" t="s">
        <v>90</v>
      </c>
      <c r="D65" s="47">
        <f t="shared" si="0"/>
        <v>22086090.670000002</v>
      </c>
      <c r="E65" s="47">
        <f>VLOOKUP("A_Interest_Payments_cum",calcdata,2,0)</f>
        <v>17683148.25</v>
      </c>
      <c r="F65" s="48"/>
      <c r="G65" s="47">
        <f>VLOOKUP("B_Interest_Payments_cum",calcdata,2,0)</f>
        <v>1420740</v>
      </c>
      <c r="H65" s="50"/>
      <c r="I65" s="47">
        <f>VLOOKUP("C_Interest_Payments_cum",calcdata,2,0)</f>
        <v>833485.25</v>
      </c>
      <c r="J65" s="50"/>
      <c r="K65" s="47">
        <f>VLOOKUP("D_Interest_Payments_cum",calcdata,2,0)</f>
        <v>759343.75</v>
      </c>
      <c r="L65" s="50"/>
      <c r="M65" s="47">
        <f>VLOOKUP("E_Interest_Payments_cum",calcdata,2,0)</f>
        <v>1038774</v>
      </c>
      <c r="N65" s="47"/>
      <c r="O65" s="47">
        <f>VLOOKUP("F_Interest_Payments_cum",calcdata,2,0)</f>
        <v>252376</v>
      </c>
      <c r="P65" s="47"/>
      <c r="Q65" s="47">
        <f>VLOOKUP("Reserve_Interest_Payments_cum",calcdata,2,0)</f>
        <v>98223.42</v>
      </c>
      <c r="R65" s="47"/>
      <c r="S65" s="342"/>
      <c r="T65" s="119"/>
    </row>
    <row r="66" spans="1:20" ht="13.5" customHeight="1">
      <c r="A66" s="114"/>
      <c r="B66" s="114"/>
      <c r="C66" s="18" t="s">
        <v>91</v>
      </c>
      <c r="D66" s="47">
        <f t="shared" si="0"/>
        <v>0</v>
      </c>
      <c r="E66" s="47">
        <f>VLOOKUP("A_Interests_unpaid",calcdata,2,0)</f>
        <v>0</v>
      </c>
      <c r="F66" s="48"/>
      <c r="G66" s="47">
        <f>VLOOKUP("B_Interests_unpaid",calcdata,2,0)</f>
        <v>0</v>
      </c>
      <c r="H66" s="50"/>
      <c r="I66" s="47">
        <f>VLOOKUP("C_Interests_unpaid",calcdata,2,0)</f>
        <v>0</v>
      </c>
      <c r="J66" s="50"/>
      <c r="K66" s="47">
        <f>VLOOKUP("D_Interests_unpaid",calcdata,2,0)</f>
        <v>0</v>
      </c>
      <c r="L66" s="50"/>
      <c r="M66" s="47">
        <f>VLOOKUP("E_Interests_unpaid",calcdata,2,0)</f>
        <v>0</v>
      </c>
      <c r="N66" s="47"/>
      <c r="O66" s="47">
        <f>VLOOKUP("F_Interests_unpaid",calcdata,2,0)</f>
        <v>0</v>
      </c>
      <c r="P66" s="47"/>
      <c r="Q66" s="47">
        <f>VLOOKUP("Reserve_Interests_unpaid",calcdata,2,0)</f>
        <v>0</v>
      </c>
      <c r="R66" s="47"/>
      <c r="S66" s="342"/>
      <c r="T66" s="119"/>
    </row>
    <row r="67" spans="1:20" ht="13.5" customHeight="1">
      <c r="A67" s="114"/>
      <c r="B67" s="114"/>
      <c r="C67" s="18" t="s">
        <v>92</v>
      </c>
      <c r="D67" s="47">
        <f t="shared" si="0"/>
        <v>0</v>
      </c>
      <c r="E67" s="47">
        <f>VLOOKUP("A_Interests_unpaid_cum",calcdata,2,0)</f>
        <v>0</v>
      </c>
      <c r="F67" s="48"/>
      <c r="G67" s="47">
        <f>VLOOKUP("B_Interests_unpaid_cum",calcdata,2,0)</f>
        <v>0</v>
      </c>
      <c r="H67" s="50"/>
      <c r="I67" s="47">
        <f>VLOOKUP("C_Interests_unpaid_cum",calcdata,2,0)</f>
        <v>0</v>
      </c>
      <c r="J67" s="50"/>
      <c r="K67" s="47">
        <f>VLOOKUP("D_Interests_unpaid_cum",calcdata,2,0)</f>
        <v>0</v>
      </c>
      <c r="L67" s="50"/>
      <c r="M67" s="47">
        <f>VLOOKUP("E_Interests_unpaid_cum",calcdata,2,0)</f>
        <v>0</v>
      </c>
      <c r="N67" s="47"/>
      <c r="O67" s="47">
        <f>VLOOKUP("F_Interests_unpaid_cum",calcdata,2,0)</f>
        <v>0</v>
      </c>
      <c r="P67" s="47"/>
      <c r="Q67" s="47">
        <f>VLOOKUP("Reserve_Interests_unpaid_cum",calcdata,2,0)</f>
        <v>0</v>
      </c>
      <c r="R67" s="47"/>
      <c r="S67" s="342"/>
      <c r="T67" s="119"/>
    </row>
    <row r="68" spans="1:20" ht="13.5" customHeight="1">
      <c r="A68" s="114"/>
      <c r="B68" s="150"/>
      <c r="C68" s="51" t="s">
        <v>306</v>
      </c>
      <c r="D68" s="52">
        <f t="shared" si="0"/>
        <v>14529113.869999999</v>
      </c>
      <c r="E68" s="52"/>
      <c r="F68" s="53"/>
      <c r="G68" s="52"/>
      <c r="H68" s="54"/>
      <c r="I68" s="52"/>
      <c r="J68" s="54"/>
      <c r="K68" s="52"/>
      <c r="L68" s="54"/>
      <c r="M68" s="52"/>
      <c r="N68" s="52"/>
      <c r="O68" s="52"/>
      <c r="P68" s="52"/>
      <c r="Q68" s="52">
        <f>VLOOKUP("Reserve_outstanding",calcdata,2,0)</f>
        <v>14529113.869999999</v>
      </c>
      <c r="R68" s="52"/>
      <c r="S68" s="343"/>
      <c r="T68" s="119"/>
    </row>
    <row r="69" spans="1:20">
      <c r="A69" s="114"/>
      <c r="C69" s="13"/>
      <c r="D69" s="12"/>
      <c r="E69" s="184"/>
      <c r="F69" s="12"/>
      <c r="G69" s="185"/>
      <c r="H69" s="186"/>
      <c r="I69" s="185"/>
      <c r="J69" s="185"/>
      <c r="K69" s="185"/>
      <c r="L69" s="185"/>
      <c r="M69" s="111"/>
      <c r="N69" s="111"/>
      <c r="O69" s="111"/>
      <c r="P69" s="111"/>
      <c r="Q69" s="111"/>
      <c r="T69" s="119"/>
    </row>
    <row r="70" spans="1:20">
      <c r="A70" s="150"/>
      <c r="B70" s="51"/>
      <c r="C70" s="26"/>
      <c r="D70" s="10"/>
      <c r="E70" s="308"/>
      <c r="F70" s="10"/>
      <c r="G70" s="286"/>
      <c r="H70" s="309"/>
      <c r="I70" s="286"/>
      <c r="J70" s="286"/>
      <c r="K70" s="286"/>
      <c r="L70" s="286"/>
      <c r="M70" s="344"/>
      <c r="N70" s="344"/>
      <c r="O70" s="344"/>
      <c r="P70" s="344"/>
      <c r="Q70" s="344"/>
      <c r="R70" s="51"/>
      <c r="S70" s="51"/>
      <c r="T70" s="152"/>
    </row>
    <row r="71" spans="1:20" ht="15" customHeight="1">
      <c r="C71" s="13"/>
      <c r="D71" s="12"/>
      <c r="E71" s="184"/>
      <c r="F71" s="12"/>
      <c r="G71" s="185"/>
      <c r="H71" s="186"/>
      <c r="I71" s="185"/>
      <c r="J71" s="185"/>
      <c r="K71" s="185"/>
      <c r="L71" s="185"/>
      <c r="M71" s="111"/>
      <c r="N71" s="111"/>
      <c r="O71" s="111"/>
      <c r="P71" s="111"/>
      <c r="Q71" s="111"/>
    </row>
    <row r="72" spans="1:20">
      <c r="C72" s="13"/>
      <c r="D72" s="12"/>
      <c r="E72" s="184"/>
      <c r="F72" s="12"/>
      <c r="G72" s="185"/>
      <c r="H72" s="186"/>
      <c r="I72" s="185"/>
      <c r="J72" s="185"/>
      <c r="K72" s="185"/>
      <c r="L72" s="185"/>
      <c r="M72" s="111"/>
      <c r="N72" s="111"/>
      <c r="O72" s="111"/>
      <c r="P72" s="111"/>
      <c r="Q72" s="111"/>
    </row>
    <row r="73" spans="1:20">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7"/>
      <c r="F101" s="188"/>
      <c r="G101" s="219"/>
      <c r="H101" s="190"/>
      <c r="I101" s="219"/>
      <c r="J101" s="219"/>
      <c r="K101" s="219"/>
      <c r="L101" s="219"/>
      <c r="M101" s="111"/>
      <c r="N101" s="111"/>
      <c r="O101" s="111"/>
      <c r="P101" s="111"/>
      <c r="Q101" s="111"/>
    </row>
    <row r="102" spans="3:17">
      <c r="C102" s="13"/>
      <c r="D102" s="12"/>
      <c r="E102" s="187"/>
      <c r="F102" s="187"/>
      <c r="G102" s="187"/>
      <c r="H102" s="187"/>
      <c r="I102" s="187"/>
      <c r="J102" s="187"/>
      <c r="K102" s="187"/>
      <c r="L102" s="187"/>
      <c r="M102" s="111"/>
      <c r="N102" s="111"/>
      <c r="O102" s="111"/>
      <c r="P102" s="111"/>
      <c r="Q102" s="111"/>
    </row>
    <row r="103" spans="3:17">
      <c r="C103" s="13"/>
      <c r="D103" s="12"/>
      <c r="E103" s="187"/>
      <c r="F103" s="187"/>
      <c r="G103" s="187"/>
      <c r="H103" s="187"/>
      <c r="I103" s="187"/>
      <c r="J103" s="187"/>
      <c r="K103" s="187"/>
      <c r="L103" s="187"/>
      <c r="M103" s="111"/>
      <c r="N103" s="111"/>
      <c r="O103" s="111"/>
      <c r="P103" s="111"/>
      <c r="Q103" s="111"/>
    </row>
    <row r="104" spans="3:17">
      <c r="C104" s="13"/>
      <c r="D104" s="12"/>
      <c r="E104" s="191"/>
      <c r="F104" s="345"/>
      <c r="G104" s="187"/>
      <c r="H104" s="187"/>
      <c r="I104" s="187"/>
      <c r="J104" s="187"/>
      <c r="K104" s="187"/>
      <c r="L104" s="187"/>
      <c r="M104" s="111"/>
      <c r="N104" s="111"/>
      <c r="O104" s="111"/>
      <c r="P104" s="111"/>
      <c r="Q104" s="111"/>
    </row>
    <row r="105" spans="3:17">
      <c r="C105" s="13"/>
      <c r="D105" s="12"/>
      <c r="E105" s="188"/>
      <c r="F105" s="345"/>
      <c r="G105" s="187"/>
      <c r="H105" s="187"/>
      <c r="I105" s="187"/>
      <c r="J105" s="187"/>
      <c r="K105" s="187"/>
      <c r="L105" s="187"/>
      <c r="M105" s="111"/>
      <c r="N105" s="111"/>
      <c r="O105" s="111"/>
      <c r="P105" s="111"/>
      <c r="Q105" s="111"/>
    </row>
    <row r="106" spans="3:17">
      <c r="C106" s="13"/>
      <c r="D106" s="12"/>
      <c r="E106" s="187"/>
      <c r="F106" s="345"/>
      <c r="G106" s="187"/>
      <c r="H106" s="187"/>
      <c r="I106" s="187"/>
      <c r="J106" s="187"/>
      <c r="K106" s="187"/>
      <c r="L106" s="187"/>
      <c r="M106" s="111"/>
      <c r="N106" s="111"/>
      <c r="O106" s="111"/>
      <c r="P106" s="111"/>
      <c r="Q106" s="111"/>
    </row>
    <row r="107" spans="3:17" ht="14">
      <c r="C107" s="187"/>
      <c r="D107" s="346"/>
      <c r="E107" s="193"/>
      <c r="F107" s="193"/>
      <c r="G107" s="193"/>
      <c r="H107" s="193"/>
      <c r="I107" s="193"/>
      <c r="J107" s="193"/>
      <c r="K107" s="193"/>
      <c r="L107" s="193"/>
      <c r="M107" s="111"/>
      <c r="N107" s="111"/>
      <c r="O107" s="111"/>
      <c r="P107" s="111"/>
      <c r="Q107" s="111"/>
    </row>
    <row r="108" spans="3:17" ht="14">
      <c r="E108" s="193"/>
      <c r="F108" s="193"/>
      <c r="G108" s="193"/>
      <c r="H108" s="193"/>
      <c r="I108" s="193"/>
      <c r="J108" s="193"/>
      <c r="K108" s="193"/>
      <c r="L108" s="193"/>
      <c r="M108" s="111"/>
      <c r="N108" s="111"/>
      <c r="O108" s="111"/>
      <c r="P108" s="111"/>
      <c r="Q108" s="111"/>
    </row>
    <row r="109" spans="3:17" ht="14">
      <c r="E109" s="194"/>
      <c r="F109" s="347"/>
      <c r="G109" s="193"/>
      <c r="H109" s="193"/>
      <c r="I109" s="193"/>
      <c r="J109" s="193"/>
      <c r="K109" s="193"/>
      <c r="L109" s="193"/>
      <c r="M109" s="111"/>
      <c r="N109" s="111"/>
      <c r="O109" s="111"/>
      <c r="P109" s="111"/>
      <c r="Q109" s="111"/>
    </row>
    <row r="110" spans="3:17" ht="14">
      <c r="C110" s="191"/>
      <c r="D110" s="345"/>
      <c r="E110" s="196"/>
      <c r="F110" s="347"/>
      <c r="G110" s="193"/>
      <c r="H110" s="193"/>
      <c r="I110" s="193"/>
      <c r="J110" s="193"/>
      <c r="K110" s="193"/>
      <c r="L110" s="193"/>
      <c r="M110" s="111"/>
      <c r="N110" s="111"/>
      <c r="O110" s="111"/>
      <c r="P110" s="111"/>
      <c r="Q110" s="111"/>
    </row>
    <row r="111" spans="3:17" ht="14">
      <c r="C111" s="197"/>
      <c r="D111" s="345"/>
      <c r="E111" s="193"/>
      <c r="F111" s="347"/>
      <c r="G111" s="193"/>
      <c r="H111" s="193"/>
      <c r="I111" s="193"/>
      <c r="J111" s="193"/>
      <c r="K111" s="193"/>
      <c r="L111" s="193"/>
      <c r="M111" s="111"/>
      <c r="N111" s="111"/>
      <c r="O111" s="111"/>
      <c r="P111" s="111"/>
      <c r="Q111" s="111"/>
    </row>
    <row r="112" spans="3:17">
      <c r="D112" s="345"/>
      <c r="M112" s="111"/>
      <c r="N112" s="111"/>
      <c r="O112" s="111"/>
      <c r="P112" s="111"/>
      <c r="Q112" s="111"/>
    </row>
    <row r="113" spans="13:17">
      <c r="M113" s="111"/>
      <c r="N113" s="111"/>
      <c r="O113" s="111"/>
      <c r="P113" s="111"/>
      <c r="Q113" s="111"/>
    </row>
    <row r="114" spans="13:17">
      <c r="M114" s="111"/>
      <c r="N114" s="111"/>
      <c r="O114" s="111"/>
      <c r="P114" s="111"/>
      <c r="Q114" s="111"/>
    </row>
    <row r="115" spans="13:17">
      <c r="M115" s="111"/>
      <c r="N115" s="111"/>
      <c r="O115" s="111"/>
      <c r="P115" s="111"/>
      <c r="Q115" s="111"/>
    </row>
    <row r="116" spans="13:17">
      <c r="M116" s="111"/>
      <c r="N116" s="111"/>
      <c r="O116" s="111"/>
      <c r="P116" s="111"/>
      <c r="Q116" s="111"/>
    </row>
    <row r="117" spans="13:17">
      <c r="M117" s="111"/>
      <c r="N117" s="111"/>
      <c r="O117" s="111"/>
      <c r="P117" s="111"/>
      <c r="Q117" s="111"/>
    </row>
    <row r="118" spans="13:17">
      <c r="M118" s="111"/>
      <c r="N118" s="111"/>
      <c r="O118" s="111"/>
      <c r="P118" s="111"/>
      <c r="Q118" s="111"/>
    </row>
    <row r="119" spans="13:17">
      <c r="M119" s="111"/>
      <c r="N119" s="111"/>
      <c r="O119" s="111"/>
      <c r="P119" s="111"/>
      <c r="Q119" s="111"/>
    </row>
    <row r="120" spans="13:17">
      <c r="M120" s="111"/>
      <c r="N120" s="111"/>
      <c r="O120" s="111"/>
      <c r="P120" s="111"/>
      <c r="Q120" s="111"/>
    </row>
    <row r="121" spans="13:17">
      <c r="M121" s="111"/>
      <c r="N121" s="111"/>
      <c r="O121" s="111"/>
      <c r="P121" s="111"/>
      <c r="Q121" s="111"/>
    </row>
    <row r="122" spans="13:17">
      <c r="M122" s="111"/>
      <c r="N122" s="111"/>
      <c r="O122" s="111"/>
      <c r="P122" s="111"/>
      <c r="Q122" s="111"/>
    </row>
    <row r="123" spans="13:17">
      <c r="M123" s="111"/>
      <c r="N123" s="111"/>
      <c r="O123" s="111"/>
      <c r="P123" s="111"/>
      <c r="Q123" s="111"/>
    </row>
    <row r="124" spans="13:17">
      <c r="M124" s="111"/>
      <c r="N124" s="111"/>
      <c r="O124" s="111"/>
      <c r="P124" s="111"/>
      <c r="Q124" s="111"/>
    </row>
    <row r="125" spans="13:17">
      <c r="M125" s="111"/>
      <c r="N125" s="111"/>
      <c r="O125" s="111"/>
      <c r="P125" s="111"/>
      <c r="Q125" s="111"/>
    </row>
    <row r="126" spans="13:17">
      <c r="M126" s="111"/>
      <c r="N126" s="111"/>
      <c r="O126" s="111"/>
      <c r="P126" s="111"/>
      <c r="Q126" s="111"/>
    </row>
    <row r="127" spans="13:17">
      <c r="M127" s="111"/>
      <c r="N127" s="111"/>
      <c r="O127" s="111"/>
      <c r="P127" s="111"/>
      <c r="Q127" s="111"/>
    </row>
    <row r="128" spans="1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45848</v>
      </c>
      <c r="G2" s="116"/>
      <c r="H2" s="116"/>
      <c r="I2" s="116"/>
      <c r="J2" s="118"/>
      <c r="K2" s="316"/>
    </row>
    <row r="3" spans="1:13" ht="18">
      <c r="A3" s="114"/>
      <c r="B3" s="42" t="str">
        <f>'Cover Sheet'!B3</f>
        <v>Monthly Investor Report</v>
      </c>
      <c r="C3" s="42"/>
      <c r="D3" s="121" t="str">
        <f>'Cover Sheet'!D3</f>
        <v>Payment Date</v>
      </c>
      <c r="E3" s="122"/>
      <c r="F3" s="123">
        <f>'Cover Sheet'!F3</f>
        <v>45852</v>
      </c>
      <c r="G3" s="122"/>
      <c r="H3" s="122"/>
      <c r="I3" s="122"/>
      <c r="J3" s="124"/>
      <c r="K3" s="134"/>
    </row>
    <row r="4" spans="1:13" ht="13">
      <c r="A4" s="114"/>
      <c r="B4" s="120"/>
      <c r="C4" s="99"/>
      <c r="D4" s="121" t="str">
        <f>'Cover Sheet'!D4</f>
        <v>Period  No</v>
      </c>
      <c r="E4" s="122"/>
      <c r="F4" s="126">
        <f>'Cover Sheet'!F4</f>
        <v>8</v>
      </c>
      <c r="G4" s="122"/>
      <c r="H4" s="127"/>
      <c r="I4" s="122"/>
      <c r="J4" s="128"/>
      <c r="K4" s="316"/>
    </row>
    <row r="5" spans="1:13" ht="18">
      <c r="A5" s="114"/>
      <c r="B5" s="129" t="s">
        <v>361</v>
      </c>
      <c r="C5" s="129"/>
      <c r="D5" s="121" t="str">
        <f>'Cover Sheet'!D5</f>
        <v>Monthly Period</v>
      </c>
      <c r="E5" s="122"/>
      <c r="F5" s="130">
        <f>'Cover Sheet'!F5</f>
        <v>45852</v>
      </c>
      <c r="G5" s="122"/>
      <c r="H5" s="127"/>
      <c r="I5" s="122"/>
      <c r="J5" s="128"/>
      <c r="K5" s="134"/>
    </row>
    <row r="6" spans="1:13" ht="15" customHeight="1">
      <c r="A6" s="114"/>
      <c r="B6" s="131"/>
      <c r="C6" s="120"/>
      <c r="D6" s="121" t="str">
        <f>'Cover Sheet'!D6</f>
        <v>Interest Period</v>
      </c>
      <c r="E6" s="132" t="str">
        <f>'Cover Sheet'!E6</f>
        <v>from</v>
      </c>
      <c r="F6" s="123">
        <f>'Cover Sheet'!F6</f>
        <v>45824</v>
      </c>
      <c r="G6" s="132" t="str">
        <f>'Cover Sheet'!G6</f>
        <v>to</v>
      </c>
      <c r="H6" s="123">
        <f>'Cover Sheet'!H6</f>
        <v>45852</v>
      </c>
      <c r="I6" s="132" t="str">
        <f>'Cover Sheet'!I6</f>
        <v>=</v>
      </c>
      <c r="J6" s="133" t="str">
        <f>'Cover Sheet'!J6</f>
        <v>28 days</v>
      </c>
      <c r="K6" s="134"/>
      <c r="M6" s="135"/>
    </row>
    <row r="7" spans="1:13" ht="13">
      <c r="A7" s="114"/>
      <c r="D7" s="136" t="str">
        <f>'Cover Sheet'!D7</f>
        <v>Collection Period</v>
      </c>
      <c r="E7" s="137" t="str">
        <f>'Cover Sheet'!E7</f>
        <v>from</v>
      </c>
      <c r="F7" s="138" t="str">
        <f>'Cover Sheet'!F7</f>
        <v>01.06.2025</v>
      </c>
      <c r="G7" s="137" t="str">
        <f>'Cover Sheet'!G7</f>
        <v>to</v>
      </c>
      <c r="H7" s="138">
        <f>'Cover Sheet'!H7</f>
        <v>45838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15" customHeight="1">
      <c r="A13" s="114"/>
      <c r="C13" s="84"/>
      <c r="D13" s="84"/>
      <c r="E13" s="84"/>
      <c r="F13" s="84"/>
      <c r="G13" s="319"/>
      <c r="H13" s="319"/>
      <c r="I13" s="319"/>
      <c r="K13" s="119"/>
      <c r="M13" s="111"/>
    </row>
    <row r="14" spans="1:13" ht="12.75" customHeight="1">
      <c r="A14" s="114"/>
      <c r="B14" s="893" t="s">
        <v>253</v>
      </c>
      <c r="C14" s="893"/>
      <c r="D14" s="893"/>
      <c r="E14" s="893"/>
      <c r="F14" s="893"/>
      <c r="G14" s="893"/>
      <c r="H14" s="319"/>
      <c r="I14" s="319"/>
      <c r="K14" s="119"/>
      <c r="M14" s="111"/>
    </row>
    <row r="15" spans="1:13" ht="12.75" customHeight="1">
      <c r="A15" s="114"/>
      <c r="B15" s="893"/>
      <c r="C15" s="893"/>
      <c r="D15" s="893"/>
      <c r="E15" s="893"/>
      <c r="F15" s="893"/>
      <c r="G15" s="893"/>
      <c r="H15" s="319"/>
      <c r="I15" s="319"/>
      <c r="K15" s="119"/>
      <c r="M15" s="111"/>
    </row>
    <row r="16" spans="1:13" ht="12.75" customHeight="1">
      <c r="A16" s="114"/>
      <c r="B16" s="893"/>
      <c r="C16" s="893"/>
      <c r="D16" s="893"/>
      <c r="E16" s="893"/>
      <c r="F16" s="893"/>
      <c r="G16" s="893"/>
      <c r="H16" s="319"/>
      <c r="I16" s="319"/>
      <c r="K16" s="119"/>
      <c r="M16" s="111"/>
    </row>
    <row r="17" spans="1:13" ht="24" customHeight="1">
      <c r="A17" s="114"/>
      <c r="B17" s="893"/>
      <c r="C17" s="893"/>
      <c r="D17" s="893"/>
      <c r="E17" s="893"/>
      <c r="F17" s="893"/>
      <c r="G17" s="893"/>
      <c r="H17" s="319"/>
      <c r="I17" s="319"/>
      <c r="K17" s="119"/>
      <c r="M17" s="111"/>
    </row>
    <row r="18" spans="1:13" ht="12.75" customHeight="1">
      <c r="A18" s="114"/>
      <c r="C18" s="12"/>
      <c r="E18" s="320"/>
      <c r="F18" s="206"/>
      <c r="G18" s="321"/>
      <c r="H18" s="206"/>
      <c r="I18" s="206"/>
      <c r="K18" s="119"/>
      <c r="M18" s="111"/>
    </row>
    <row r="19" spans="1:13">
      <c r="A19" s="114"/>
      <c r="B19" s="86" t="s">
        <v>307</v>
      </c>
      <c r="C19" s="87"/>
      <c r="D19" s="843">
        <f>VLOOKUP("Retention_amt",Assets_Daten,3,0)</f>
        <v>47197974.730000086</v>
      </c>
      <c r="E19" s="81"/>
      <c r="H19" s="81"/>
      <c r="K19" s="119"/>
      <c r="M19" s="111"/>
    </row>
    <row r="20" spans="1:13">
      <c r="A20" s="114"/>
      <c r="B20" s="40"/>
      <c r="C20" s="12"/>
      <c r="H20" s="322"/>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3"/>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4"/>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25"/>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31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2024-2</v>
      </c>
      <c r="C2" s="226"/>
      <c r="D2" s="900" t="str">
        <f>'Cover Sheet'!D2</f>
        <v>Calculation Date</v>
      </c>
      <c r="E2" s="901"/>
      <c r="F2" s="228"/>
      <c r="G2" s="117">
        <f>'Cover Sheet'!F2</f>
        <v>45848</v>
      </c>
      <c r="H2" s="310"/>
      <c r="I2" s="228"/>
      <c r="J2" s="228"/>
      <c r="K2" s="228"/>
      <c r="L2" s="228"/>
      <c r="M2" s="228"/>
      <c r="N2" s="230"/>
      <c r="P2" s="94"/>
    </row>
    <row r="3" spans="1:16" ht="18">
      <c r="A3" s="225"/>
      <c r="B3" s="226" t="str">
        <f>'Cover Sheet'!B3</f>
        <v>Monthly Investor Report</v>
      </c>
      <c r="C3" s="226"/>
      <c r="D3" s="902" t="str">
        <f>'Cover Sheet'!D3</f>
        <v>Payment Date</v>
      </c>
      <c r="E3" s="903"/>
      <c r="F3" s="234"/>
      <c r="G3" s="123">
        <f>'Cover Sheet'!F3</f>
        <v>45852</v>
      </c>
      <c r="H3" s="311"/>
      <c r="I3" s="233"/>
      <c r="J3" s="233"/>
      <c r="K3" s="233"/>
      <c r="L3" s="233"/>
      <c r="M3" s="233"/>
      <c r="N3" s="235"/>
      <c r="P3" s="94"/>
    </row>
    <row r="4" spans="1:16">
      <c r="A4" s="225"/>
      <c r="B4" s="236"/>
      <c r="C4" s="109"/>
      <c r="D4" s="902" t="str">
        <f>'Cover Sheet'!D4</f>
        <v>Period  No</v>
      </c>
      <c r="E4" s="903"/>
      <c r="F4" s="237"/>
      <c r="G4" s="126">
        <f>'Cover Sheet'!F4</f>
        <v>8</v>
      </c>
      <c r="H4" s="312"/>
      <c r="I4" s="238"/>
      <c r="J4" s="238"/>
      <c r="K4" s="238"/>
      <c r="L4" s="238"/>
      <c r="M4" s="233"/>
      <c r="N4" s="239"/>
      <c r="P4" s="94"/>
    </row>
    <row r="5" spans="1:16" ht="18">
      <c r="A5" s="225"/>
      <c r="B5" s="240" t="s">
        <v>360</v>
      </c>
      <c r="C5" s="240"/>
      <c r="D5" s="902" t="str">
        <f>'Cover Sheet'!D5</f>
        <v>Monthly Period</v>
      </c>
      <c r="E5" s="903"/>
      <c r="F5" s="869"/>
      <c r="G5" s="130">
        <f>'Cover Sheet'!F5</f>
        <v>45852</v>
      </c>
      <c r="H5" s="233"/>
      <c r="I5" s="238"/>
      <c r="J5" s="238"/>
      <c r="K5" s="238"/>
      <c r="L5" s="238"/>
      <c r="M5" s="233"/>
      <c r="N5" s="239"/>
      <c r="P5" s="94"/>
    </row>
    <row r="6" spans="1:16" ht="15" customHeight="1">
      <c r="A6" s="225"/>
      <c r="B6" s="241"/>
      <c r="C6" s="236"/>
      <c r="D6" s="904" t="str">
        <f>'Cover Sheet'!D6</f>
        <v>Interest Period</v>
      </c>
      <c r="E6" s="903"/>
      <c r="F6" s="234" t="s">
        <v>34</v>
      </c>
      <c r="G6" s="123">
        <f>'Cover Sheet'!F6</f>
        <v>45824</v>
      </c>
      <c r="H6" s="234" t="s">
        <v>4</v>
      </c>
      <c r="I6" s="234">
        <f>'Cover Sheet'!H6</f>
        <v>45852</v>
      </c>
      <c r="J6" s="234"/>
      <c r="K6" s="234"/>
      <c r="L6" s="234"/>
      <c r="M6" s="234" t="s">
        <v>15</v>
      </c>
      <c r="N6" s="244" t="str">
        <f>'Cover Sheet'!J6</f>
        <v>28 days</v>
      </c>
      <c r="P6" s="245"/>
    </row>
    <row r="7" spans="1:16" ht="13">
      <c r="A7" s="225"/>
      <c r="D7" s="905" t="str">
        <f>'Cover Sheet'!D7</f>
        <v>Collection Period</v>
      </c>
      <c r="E7" s="906"/>
      <c r="F7" s="247" t="s">
        <v>34</v>
      </c>
      <c r="G7" s="138" t="str">
        <f>'Cover Sheet'!F7</f>
        <v>01.06.2025</v>
      </c>
      <c r="H7" s="247" t="s">
        <v>4</v>
      </c>
      <c r="I7" s="247">
        <f>'Cover Sheet'!H7</f>
        <v>45838</v>
      </c>
      <c r="J7" s="247"/>
      <c r="K7" s="247"/>
      <c r="L7" s="247"/>
      <c r="M7" s="313"/>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257</v>
      </c>
      <c r="H11" s="28" t="s">
        <v>387</v>
      </c>
      <c r="I11" s="28" t="s">
        <v>237</v>
      </c>
      <c r="J11" s="30"/>
      <c r="K11" s="30"/>
      <c r="L11" s="30"/>
      <c r="M11" s="25"/>
      <c r="N11" s="25"/>
      <c r="O11" s="25"/>
      <c r="P11" s="255"/>
    </row>
    <row r="12" spans="1:16" ht="15" customHeight="1">
      <c r="A12" s="225"/>
      <c r="D12" s="897" t="s">
        <v>791</v>
      </c>
      <c r="E12" s="898"/>
      <c r="F12" s="899"/>
      <c r="G12" s="894" t="s">
        <v>523</v>
      </c>
      <c r="H12" s="895"/>
      <c r="I12" s="896"/>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257</v>
      </c>
      <c r="E14" s="29" t="s">
        <v>387</v>
      </c>
      <c r="F14" s="29" t="s">
        <v>237</v>
      </c>
      <c r="G14" s="96"/>
      <c r="H14" s="96"/>
      <c r="I14" s="92"/>
      <c r="K14" s="4"/>
      <c r="L14" s="252"/>
      <c r="P14" s="94"/>
    </row>
    <row r="15" spans="1:16" ht="12.75" customHeight="1">
      <c r="A15" s="225"/>
      <c r="B15" s="31" t="s">
        <v>398</v>
      </c>
      <c r="C15" s="68" t="s">
        <v>104</v>
      </c>
      <c r="D15" s="4" t="str">
        <f>VLOOKUP($C15,ratings,8,FALSE)</f>
        <v>A</v>
      </c>
      <c r="E15" s="4" t="str">
        <f>VLOOKUP($C15,ratings,10,FALSE)</f>
        <v>F1</v>
      </c>
      <c r="F15" s="4" t="str">
        <f>VLOOKUP($C15,ratings,11,FALSE)</f>
        <v>STABLE</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728</v>
      </c>
      <c r="D16" s="33"/>
      <c r="F16" s="33"/>
      <c r="G16" s="33"/>
      <c r="H16" s="33"/>
      <c r="I16" s="94"/>
      <c r="K16" s="4"/>
      <c r="L16" s="252"/>
      <c r="P16" s="94"/>
    </row>
    <row r="17" spans="1:16" ht="12.75" customHeight="1">
      <c r="A17" s="225"/>
      <c r="B17" s="7"/>
      <c r="C17" s="18" t="s">
        <v>729</v>
      </c>
      <c r="D17" s="4"/>
      <c r="E17" s="5"/>
      <c r="F17" s="4"/>
      <c r="G17" s="4"/>
      <c r="H17" s="4"/>
      <c r="I17" s="93"/>
      <c r="K17" s="4"/>
      <c r="L17" s="252"/>
      <c r="P17" s="94"/>
    </row>
    <row r="18" spans="1:16" ht="12.75" customHeight="1">
      <c r="A18" s="225"/>
      <c r="B18" s="7"/>
      <c r="C18" s="18" t="s">
        <v>730</v>
      </c>
      <c r="D18" s="33"/>
      <c r="F18" s="33"/>
      <c r="G18" s="33"/>
      <c r="H18" s="33"/>
      <c r="I18" s="94"/>
      <c r="K18" s="4"/>
      <c r="L18" s="252"/>
      <c r="P18" s="94"/>
    </row>
    <row r="19" spans="1:16" ht="12.75" customHeight="1">
      <c r="A19" s="225"/>
      <c r="B19" s="7"/>
      <c r="C19" s="91" t="s">
        <v>731</v>
      </c>
      <c r="D19" s="33"/>
      <c r="F19" s="33"/>
      <c r="G19" s="33"/>
      <c r="H19" s="33"/>
      <c r="I19" s="94"/>
      <c r="K19" s="4"/>
      <c r="L19" s="252"/>
      <c r="P19" s="94"/>
    </row>
    <row r="20" spans="1:16" ht="12.75" customHeight="1">
      <c r="A20" s="225"/>
      <c r="B20" s="7"/>
      <c r="C20" s="18" t="s">
        <v>732</v>
      </c>
      <c r="D20" s="33"/>
      <c r="F20" s="33"/>
      <c r="G20" s="33"/>
      <c r="H20" s="33"/>
      <c r="I20" s="94"/>
      <c r="K20" s="4"/>
      <c r="L20" s="252"/>
      <c r="P20" s="94"/>
    </row>
    <row r="21" spans="1:16" ht="12.75" customHeight="1">
      <c r="A21" s="225"/>
      <c r="B21" s="7"/>
      <c r="C21" s="18" t="s">
        <v>252</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783</v>
      </c>
      <c r="D23" s="4" t="str">
        <f>VLOOKUP(C23,ratings,8,FALSE)</f>
        <v>AA</v>
      </c>
      <c r="E23" s="4" t="str">
        <f>VLOOKUP(C23,ratings,10,FALSE)</f>
        <v>F1+</v>
      </c>
      <c r="F23" s="4" t="str">
        <f>VLOOKUP(C23,ratings,11,FALSE)</f>
        <v>STABLE</v>
      </c>
      <c r="G23" s="4" t="str">
        <f>VLOOKUP(C23,ratings,13,FALSE)</f>
        <v>-</v>
      </c>
      <c r="H23" s="4" t="str">
        <f>VLOOKUP(C23,ratings,15,FALSE)</f>
        <v>-</v>
      </c>
      <c r="I23" s="4" t="str">
        <f>VLOOKUP(C23,ratings,16,FALSE)</f>
        <v>-</v>
      </c>
      <c r="K23" s="4" t="s">
        <v>198</v>
      </c>
      <c r="L23" s="252"/>
      <c r="P23" s="94"/>
    </row>
    <row r="24" spans="1:16" ht="12.75" customHeight="1">
      <c r="A24" s="225"/>
      <c r="B24" s="7"/>
      <c r="C24" s="69" t="s">
        <v>784</v>
      </c>
      <c r="D24" s="33"/>
      <c r="F24" s="33"/>
      <c r="G24" s="33"/>
      <c r="H24" s="33"/>
      <c r="I24" s="94"/>
      <c r="K24" s="4"/>
      <c r="L24" s="252"/>
      <c r="P24" s="94"/>
    </row>
    <row r="25" spans="1:16" ht="12.75" customHeight="1">
      <c r="A25" s="225"/>
      <c r="B25" s="7"/>
      <c r="C25" s="69" t="s">
        <v>785</v>
      </c>
      <c r="D25" s="33"/>
      <c r="F25" s="33"/>
      <c r="G25" s="33"/>
      <c r="H25" s="33"/>
      <c r="I25" s="94"/>
      <c r="K25" s="4"/>
      <c r="L25" s="252"/>
      <c r="P25" s="94"/>
    </row>
    <row r="26" spans="1:16" ht="12.75" customHeight="1">
      <c r="A26" s="225"/>
      <c r="B26" s="7"/>
      <c r="C26" s="69" t="s">
        <v>725</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786</v>
      </c>
      <c r="D28" s="4" t="str">
        <f>VLOOKUP($C28,ratings,8,FALSE)</f>
        <v>AA-</v>
      </c>
      <c r="E28" s="4" t="str">
        <f>VLOOKUP($C28,ratings,10,FALSE)</f>
        <v>F1+</v>
      </c>
      <c r="F28" s="4" t="str">
        <f>VLOOKUP($C28,ratings,11,FALSE)</f>
        <v>STABLE</v>
      </c>
      <c r="G28" s="4" t="str">
        <f>VLOOKUP($C28,ratings,13,FALSE)</f>
        <v>-</v>
      </c>
      <c r="H28" s="4" t="str">
        <f>VLOOKUP($C28,ratings,15,FALSE)</f>
        <v>-</v>
      </c>
      <c r="I28" s="4" t="str">
        <f>VLOOKUP($C28,ratings,16,FALSE)</f>
        <v>-</v>
      </c>
      <c r="K28" s="4" t="s">
        <v>198</v>
      </c>
      <c r="L28" s="252"/>
      <c r="P28" s="94"/>
    </row>
    <row r="29" spans="1:16" ht="12.75" customHeight="1">
      <c r="A29" s="225"/>
      <c r="B29" s="7"/>
      <c r="C29" s="69" t="s">
        <v>787</v>
      </c>
      <c r="D29" s="33"/>
      <c r="F29" s="33"/>
      <c r="G29" s="33"/>
      <c r="H29" s="33"/>
      <c r="I29" s="94"/>
      <c r="K29" s="4"/>
      <c r="L29" s="252"/>
      <c r="P29" s="94"/>
    </row>
    <row r="30" spans="1:16" ht="12.75" customHeight="1">
      <c r="A30" s="225"/>
      <c r="B30" s="7"/>
      <c r="C30" s="69" t="s">
        <v>788</v>
      </c>
      <c r="D30" s="33"/>
      <c r="F30" s="33"/>
      <c r="G30" s="33"/>
      <c r="H30" s="33"/>
      <c r="I30" s="94"/>
      <c r="K30" s="4"/>
      <c r="L30" s="252"/>
      <c r="P30" s="94"/>
    </row>
    <row r="31" spans="1:16" ht="12.75" customHeight="1">
      <c r="A31" s="225"/>
      <c r="B31" s="7"/>
      <c r="C31" s="69" t="s">
        <v>725</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7"/>
      <c r="C33" s="68" t="s">
        <v>789</v>
      </c>
      <c r="D33" s="4" t="str">
        <f>VLOOKUP(C33,ratings,8,FALSE)</f>
        <v>-</v>
      </c>
      <c r="E33" s="5" t="str">
        <f>VLOOKUP(C33,ratings,10,FALSE)</f>
        <v>-</v>
      </c>
      <c r="F33" s="4" t="str">
        <f>VLOOKUP(C33,ratings,11,FALSE)</f>
        <v>-</v>
      </c>
      <c r="G33" s="4" t="str">
        <f>VLOOKUP(C33,ratings,13,FALSE)</f>
        <v>-</v>
      </c>
      <c r="H33" s="4" t="str">
        <f>VLOOKUP(C33,ratings,15,FALSE)</f>
        <v>-</v>
      </c>
      <c r="I33" s="93" t="str">
        <f>VLOOKUP(C33,ratings,16,FALSE)</f>
        <v>-</v>
      </c>
      <c r="K33" s="4" t="s">
        <v>198</v>
      </c>
      <c r="L33" s="252"/>
      <c r="P33" s="94"/>
    </row>
    <row r="34" spans="1:16" ht="12.75" customHeight="1">
      <c r="A34" s="225"/>
      <c r="B34" s="7"/>
      <c r="C34" s="69" t="s">
        <v>790</v>
      </c>
      <c r="D34" s="33"/>
      <c r="F34" s="33"/>
      <c r="G34" s="33"/>
      <c r="H34" s="33"/>
      <c r="I34" s="94"/>
      <c r="K34" s="4"/>
      <c r="L34" s="252"/>
      <c r="P34" s="94"/>
    </row>
    <row r="35" spans="1:16" ht="12.75" customHeight="1">
      <c r="A35" s="225"/>
      <c r="B35" s="7"/>
      <c r="C35" s="69" t="s">
        <v>697</v>
      </c>
      <c r="D35" s="33"/>
      <c r="F35" s="33"/>
      <c r="G35" s="33"/>
      <c r="H35" s="33"/>
      <c r="I35" s="94"/>
      <c r="K35" s="4"/>
      <c r="L35" s="252"/>
      <c r="P35" s="94"/>
    </row>
    <row r="36" spans="1:16" ht="12.75" customHeight="1">
      <c r="A36" s="225"/>
      <c r="B36" s="7"/>
      <c r="C36" s="69" t="s">
        <v>193</v>
      </c>
      <c r="D36" s="33"/>
      <c r="F36" s="33"/>
      <c r="G36" s="33"/>
      <c r="H36" s="33"/>
      <c r="I36" s="94"/>
      <c r="K36" s="4"/>
      <c r="L36" s="252"/>
      <c r="P36" s="94"/>
    </row>
    <row r="37" spans="1:16" ht="12.75" customHeight="1">
      <c r="A37" s="225"/>
      <c r="B37" s="7"/>
      <c r="C37" s="69"/>
      <c r="D37" s="33"/>
      <c r="F37" s="33"/>
      <c r="G37" s="33"/>
      <c r="H37" s="33"/>
      <c r="I37" s="94"/>
      <c r="K37" s="4"/>
      <c r="L37" s="252"/>
      <c r="P37" s="94"/>
    </row>
    <row r="38" spans="1:16" ht="12.75" customHeight="1">
      <c r="A38" s="225"/>
      <c r="B38" s="67" t="s">
        <v>396</v>
      </c>
      <c r="C38" s="68" t="s">
        <v>251</v>
      </c>
      <c r="D38" s="4" t="str">
        <f>VLOOKUP($C38,ratings,8,FALSE)</f>
        <v>-</v>
      </c>
      <c r="E38" s="4" t="str">
        <f>VLOOKUP($C38,ratings,10,FALSE)</f>
        <v>-</v>
      </c>
      <c r="F38" s="4" t="str">
        <f>VLOOKUP($C38,ratings,11,FALSE)</f>
        <v>-</v>
      </c>
      <c r="G38" s="4" t="str">
        <f>VLOOKUP($C38,ratings,13,FALSE)</f>
        <v>-</v>
      </c>
      <c r="H38" s="4" t="str">
        <f>VLOOKUP($C38,ratings,15,FALSE)</f>
        <v>-</v>
      </c>
      <c r="I38" s="4" t="str">
        <f>VLOOKUP($C38,ratings,16,FALSE)</f>
        <v>-</v>
      </c>
      <c r="K38" s="4" t="s">
        <v>198</v>
      </c>
      <c r="L38" s="252"/>
      <c r="P38" s="94"/>
    </row>
    <row r="39" spans="1:16" ht="12.75" customHeight="1">
      <c r="A39" s="225"/>
      <c r="B39" s="21" t="s">
        <v>395</v>
      </c>
      <c r="C39" s="69" t="s">
        <v>401</v>
      </c>
      <c r="D39" s="33"/>
      <c r="F39" s="33"/>
      <c r="G39" s="33"/>
      <c r="H39" s="33"/>
      <c r="I39" s="94"/>
      <c r="K39" s="4"/>
      <c r="L39" s="252"/>
      <c r="P39" s="94"/>
    </row>
    <row r="40" spans="1:16" ht="12.75" customHeight="1">
      <c r="A40" s="225"/>
      <c r="B40" s="7"/>
      <c r="C40" s="69" t="s">
        <v>397</v>
      </c>
      <c r="D40" s="33"/>
      <c r="F40" s="33"/>
      <c r="G40" s="33"/>
      <c r="H40" s="33"/>
      <c r="I40" s="94"/>
      <c r="K40" s="4"/>
      <c r="L40" s="252"/>
      <c r="P40" s="94"/>
    </row>
    <row r="41" spans="1:16" ht="12.75" customHeight="1">
      <c r="A41" s="225"/>
      <c r="B41" s="7"/>
      <c r="C41" s="69" t="s">
        <v>249</v>
      </c>
      <c r="D41" s="33"/>
      <c r="F41" s="33"/>
      <c r="G41" s="33"/>
      <c r="H41" s="33"/>
      <c r="I41" s="94"/>
      <c r="K41" s="4"/>
      <c r="L41" s="252"/>
      <c r="P41" s="94"/>
    </row>
    <row r="42" spans="1:16" ht="12.75" customHeight="1">
      <c r="A42" s="225"/>
      <c r="B42" s="7"/>
      <c r="C42" s="64"/>
      <c r="D42" s="33"/>
      <c r="F42" s="33"/>
      <c r="G42" s="33"/>
      <c r="H42" s="33"/>
      <c r="I42" s="94"/>
      <c r="K42" s="4"/>
      <c r="L42" s="252"/>
      <c r="P42" s="94"/>
    </row>
    <row r="43" spans="1:16" ht="12.75" customHeight="1">
      <c r="A43" s="225"/>
      <c r="B43" s="31" t="s">
        <v>393</v>
      </c>
      <c r="C43" s="70" t="s">
        <v>726</v>
      </c>
      <c r="D43" s="4" t="str">
        <f>VLOOKUP($C43,ratings,8,FALSE)</f>
        <v>-</v>
      </c>
      <c r="E43" s="4" t="str">
        <f>VLOOKUP($C43,ratings,10,FALSE)</f>
        <v>-</v>
      </c>
      <c r="F43" s="4" t="str">
        <f>VLOOKUP($C43,ratings,11,FALSE)</f>
        <v>-</v>
      </c>
      <c r="G43" s="4" t="str">
        <f>VLOOKUP($C43,ratings,13,FALSE)</f>
        <v>-</v>
      </c>
      <c r="H43" s="4" t="str">
        <f>VLOOKUP($C43,ratings,15,FALSE)</f>
        <v>-</v>
      </c>
      <c r="I43" s="4" t="str">
        <f>VLOOKUP($C43,ratings,16,FALSE)</f>
        <v>-</v>
      </c>
      <c r="K43" s="4" t="s">
        <v>198</v>
      </c>
      <c r="L43" s="252"/>
      <c r="P43" s="94"/>
    </row>
    <row r="44" spans="1:16" ht="12.75" customHeight="1">
      <c r="A44" s="225"/>
      <c r="B44" s="66" t="s">
        <v>394</v>
      </c>
      <c r="C44" s="69" t="s">
        <v>749</v>
      </c>
      <c r="D44" s="33"/>
      <c r="F44" s="33"/>
      <c r="G44" s="33"/>
      <c r="H44" s="33"/>
      <c r="I44" s="94"/>
      <c r="K44" s="4"/>
      <c r="L44" s="252"/>
      <c r="P44" s="94"/>
    </row>
    <row r="45" spans="1:16" ht="12.75" customHeight="1">
      <c r="A45" s="225"/>
      <c r="B45" s="21"/>
      <c r="C45" s="69" t="s">
        <v>753</v>
      </c>
      <c r="D45" s="33"/>
      <c r="F45" s="33"/>
      <c r="G45" s="33"/>
      <c r="H45" s="33"/>
      <c r="I45" s="94"/>
      <c r="K45" s="4"/>
      <c r="L45" s="252"/>
      <c r="P45" s="94"/>
    </row>
    <row r="46" spans="1:16" ht="12.75" customHeight="1">
      <c r="A46" s="225"/>
      <c r="C46" s="69" t="s">
        <v>750</v>
      </c>
      <c r="D46" s="33"/>
      <c r="F46" s="33"/>
      <c r="G46" s="33"/>
      <c r="H46" s="33"/>
      <c r="I46" s="94"/>
      <c r="K46" s="4"/>
      <c r="L46" s="252"/>
      <c r="P46" s="94"/>
    </row>
    <row r="47" spans="1:16" ht="12.75" customHeight="1">
      <c r="A47" s="225"/>
      <c r="C47" s="69" t="s">
        <v>751</v>
      </c>
      <c r="D47" s="33"/>
      <c r="F47" s="33"/>
      <c r="G47" s="33"/>
      <c r="H47" s="33"/>
      <c r="I47" s="94"/>
      <c r="K47" s="4"/>
      <c r="L47" s="252"/>
      <c r="P47" s="94"/>
    </row>
    <row r="48" spans="1:16" ht="12.75" customHeight="1">
      <c r="A48" s="225"/>
      <c r="C48" s="69" t="s">
        <v>752</v>
      </c>
      <c r="D48" s="33"/>
      <c r="F48" s="33"/>
      <c r="G48" s="33"/>
      <c r="H48" s="33"/>
      <c r="I48" s="94"/>
      <c r="K48" s="4"/>
      <c r="L48" s="252"/>
      <c r="P48" s="94"/>
    </row>
    <row r="49" spans="1:16" ht="12.75" customHeight="1">
      <c r="A49" s="225"/>
      <c r="C49" s="64"/>
      <c r="D49" s="33"/>
      <c r="F49" s="33"/>
      <c r="G49" s="33"/>
      <c r="H49" s="33"/>
      <c r="I49" s="94"/>
      <c r="K49" s="4"/>
      <c r="L49" s="252"/>
      <c r="P49" s="94"/>
    </row>
    <row r="50" spans="1:16" ht="12.75" customHeight="1">
      <c r="A50" s="225"/>
      <c r="B50" s="20" t="s">
        <v>723</v>
      </c>
      <c r="C50" s="70" t="s">
        <v>727</v>
      </c>
      <c r="D50" s="4" t="str">
        <f>VLOOKUP($C50,ratings,8,FALSE)</f>
        <v>A+</v>
      </c>
      <c r="E50" s="4" t="str">
        <f>VLOOKUP($C50,ratings,10,FALSE)</f>
        <v>F1</v>
      </c>
      <c r="F50" s="4" t="str">
        <f>VLOOKUP($C50,ratings,11,FALSE)</f>
        <v>STABLE</v>
      </c>
      <c r="G50" s="4" t="str">
        <f>VLOOKUP($C50,ratings,13,FALSE)</f>
        <v>AAL</v>
      </c>
      <c r="H50" s="4" t="str">
        <f>VLOOKUP($C50,ratings,15,FALSE)</f>
        <v>R-1M</v>
      </c>
      <c r="I50" s="4" t="str">
        <f>VLOOKUP($C50,ratings,16,FALSE)</f>
        <v>STABLE</v>
      </c>
      <c r="K50" s="4" t="s">
        <v>198</v>
      </c>
      <c r="L50" s="252"/>
      <c r="P50" s="94"/>
    </row>
    <row r="51" spans="1:16" ht="12.75" customHeight="1">
      <c r="A51" s="225"/>
      <c r="C51" s="823" t="s">
        <v>747</v>
      </c>
      <c r="D51" s="4"/>
      <c r="E51" s="4"/>
      <c r="F51" s="4"/>
      <c r="G51" s="4"/>
      <c r="H51" s="4"/>
      <c r="I51" s="4"/>
      <c r="K51" s="4"/>
      <c r="L51" s="252"/>
      <c r="P51" s="94"/>
    </row>
    <row r="52" spans="1:16" ht="12.75" customHeight="1">
      <c r="A52" s="225"/>
      <c r="C52" s="69" t="s">
        <v>748</v>
      </c>
      <c r="D52" s="4"/>
      <c r="E52" s="5"/>
      <c r="F52" s="4"/>
      <c r="G52" s="4"/>
      <c r="H52" s="4"/>
      <c r="I52" s="93"/>
      <c r="K52" s="4"/>
      <c r="L52" s="252"/>
      <c r="P52" s="94"/>
    </row>
    <row r="53" spans="1:16" ht="12.75" customHeight="1">
      <c r="A53" s="225"/>
      <c r="C53" s="69" t="s">
        <v>193</v>
      </c>
      <c r="D53" s="4"/>
      <c r="E53" s="5"/>
      <c r="F53" s="4"/>
      <c r="G53" s="4"/>
      <c r="H53" s="4"/>
      <c r="I53" s="93"/>
      <c r="K53" s="4"/>
      <c r="L53" s="252"/>
      <c r="P53" s="94"/>
    </row>
    <row r="54" spans="1:16" ht="12.75" customHeight="1">
      <c r="A54" s="225"/>
      <c r="C54" s="65"/>
      <c r="D54" s="33"/>
      <c r="F54" s="33"/>
      <c r="G54" s="33"/>
      <c r="H54" s="33"/>
      <c r="I54" s="94"/>
      <c r="K54" s="4"/>
      <c r="L54" s="252"/>
      <c r="P54" s="94"/>
    </row>
    <row r="55" spans="1:16" ht="12.75" customHeight="1">
      <c r="A55" s="225"/>
      <c r="B55" s="20" t="s">
        <v>722</v>
      </c>
      <c r="C55" s="68" t="s">
        <v>758</v>
      </c>
      <c r="D55" s="4" t="str">
        <f>VLOOKUP($C55,ratings,8,FALSE)</f>
        <v>-</v>
      </c>
      <c r="E55" s="5" t="str">
        <f>VLOOKUP($C55,ratings,10,FALSE)</f>
        <v>-</v>
      </c>
      <c r="F55" s="4" t="str">
        <f>VLOOKUP($C55,ratings,11,FALSE)</f>
        <v>-</v>
      </c>
      <c r="G55" s="4" t="str">
        <f>VLOOKUP($C55,ratings,13,FALSE)</f>
        <v>-</v>
      </c>
      <c r="H55" s="4" t="str">
        <f>VLOOKUP($C55,ratings,15,FALSE)</f>
        <v>-</v>
      </c>
      <c r="I55" s="93" t="str">
        <f>VLOOKUP($C55,ratings,16,FALSE)</f>
        <v>-</v>
      </c>
      <c r="K55" s="4" t="s">
        <v>198</v>
      </c>
      <c r="L55" s="252"/>
      <c r="P55" s="94"/>
    </row>
    <row r="56" spans="1:16" ht="12.75" customHeight="1">
      <c r="A56" s="225"/>
      <c r="C56" s="22" t="s">
        <v>401</v>
      </c>
      <c r="D56" s="33"/>
      <c r="F56" s="33"/>
      <c r="G56" s="33"/>
      <c r="H56" s="33"/>
      <c r="I56" s="94"/>
      <c r="K56" s="4"/>
      <c r="L56" s="252"/>
      <c r="P56" s="94"/>
    </row>
    <row r="57" spans="1:16" ht="12.75" customHeight="1">
      <c r="A57" s="225"/>
      <c r="C57" s="22" t="s">
        <v>397</v>
      </c>
      <c r="D57" s="33"/>
      <c r="F57" s="33"/>
      <c r="G57" s="33"/>
      <c r="H57" s="33"/>
      <c r="I57" s="94"/>
      <c r="K57" s="4"/>
      <c r="L57" s="252"/>
      <c r="P57" s="94"/>
    </row>
    <row r="58" spans="1:16" ht="12.75" customHeight="1">
      <c r="A58" s="225"/>
      <c r="C58" s="22" t="s">
        <v>249</v>
      </c>
      <c r="D58" s="33"/>
      <c r="F58" s="33"/>
      <c r="G58" s="33"/>
      <c r="H58" s="33"/>
      <c r="I58" s="94"/>
      <c r="K58" s="4"/>
      <c r="L58" s="252"/>
      <c r="P58" s="94"/>
    </row>
    <row r="59" spans="1:16" ht="12.75" customHeight="1">
      <c r="A59" s="225"/>
      <c r="C59" s="62"/>
      <c r="D59" s="33"/>
      <c r="F59" s="33"/>
      <c r="G59" s="33"/>
      <c r="H59" s="33"/>
      <c r="I59" s="94"/>
      <c r="K59" s="4"/>
      <c r="L59" s="252"/>
      <c r="P59" s="94"/>
    </row>
    <row r="60" spans="1:16" ht="12.75" customHeight="1">
      <c r="A60" s="225"/>
      <c r="B60" s="31" t="s">
        <v>755</v>
      </c>
      <c r="C60" s="70" t="s">
        <v>104</v>
      </c>
      <c r="D60" s="4" t="str">
        <f>VLOOKUP($C60,ratings,8,FALSE)</f>
        <v>A</v>
      </c>
      <c r="E60" s="4" t="str">
        <f>VLOOKUP($C60,ratings,10,FALSE)</f>
        <v>F1</v>
      </c>
      <c r="F60" s="4" t="str">
        <f>VLOOKUP($C60,ratings,11,FALSE)</f>
        <v>STABLE</v>
      </c>
      <c r="G60" s="4" t="str">
        <f>VLOOKUP($C60,ratings,13,FALSE)</f>
        <v>AH</v>
      </c>
      <c r="H60" s="4" t="str">
        <f>VLOOKUP($C60,ratings,15,FALSE)</f>
        <v>R-1M</v>
      </c>
      <c r="I60" s="4" t="str">
        <f>VLOOKUP($C60,ratings,16,FALSE)</f>
        <v>STABLE</v>
      </c>
      <c r="K60" s="4" t="s">
        <v>198</v>
      </c>
      <c r="L60" s="252"/>
      <c r="P60" s="94"/>
    </row>
    <row r="61" spans="1:16" ht="12.75" customHeight="1">
      <c r="A61" s="225"/>
      <c r="C61" s="69" t="s">
        <v>728</v>
      </c>
      <c r="D61" s="33"/>
      <c r="E61" s="33"/>
      <c r="F61" s="33"/>
      <c r="G61" s="33"/>
      <c r="H61" s="33"/>
      <c r="I61" s="94"/>
      <c r="K61" s="4"/>
      <c r="P61" s="94"/>
    </row>
    <row r="62" spans="1:16" ht="12.75" customHeight="1">
      <c r="A62" s="225"/>
      <c r="C62" s="69" t="s">
        <v>729</v>
      </c>
      <c r="D62" s="33"/>
      <c r="F62" s="33"/>
      <c r="G62" s="33"/>
      <c r="H62" s="33"/>
      <c r="I62" s="94"/>
      <c r="K62" s="4"/>
      <c r="P62" s="94"/>
    </row>
    <row r="63" spans="1:16" ht="12.75" customHeight="1">
      <c r="A63" s="225"/>
      <c r="C63" s="69" t="s">
        <v>730</v>
      </c>
      <c r="D63" s="33"/>
      <c r="F63" s="33"/>
      <c r="G63" s="33"/>
      <c r="H63" s="33"/>
      <c r="I63" s="94"/>
      <c r="K63" s="4"/>
      <c r="P63" s="94"/>
    </row>
    <row r="64" spans="1:16" ht="12.75" customHeight="1">
      <c r="A64" s="225"/>
      <c r="C64" s="69" t="s">
        <v>731</v>
      </c>
      <c r="D64" s="33"/>
      <c r="F64" s="33"/>
      <c r="G64" s="33"/>
      <c r="H64" s="33"/>
      <c r="I64" s="94"/>
      <c r="K64" s="4"/>
      <c r="P64" s="94"/>
    </row>
    <row r="65" spans="1:16" ht="12.75" customHeight="1">
      <c r="A65" s="225"/>
      <c r="C65" s="69" t="s">
        <v>732</v>
      </c>
      <c r="D65" s="33"/>
      <c r="F65" s="33"/>
      <c r="G65" s="33"/>
      <c r="H65" s="33"/>
      <c r="I65" s="94"/>
      <c r="K65" s="4"/>
      <c r="P65" s="94"/>
    </row>
    <row r="66" spans="1:16" ht="12.75" customHeight="1">
      <c r="A66" s="225"/>
      <c r="C66" s="69" t="s">
        <v>252</v>
      </c>
      <c r="D66" s="33"/>
      <c r="F66" s="33"/>
      <c r="G66" s="33"/>
      <c r="H66" s="33"/>
      <c r="I66" s="94"/>
      <c r="K66" s="4"/>
      <c r="P66" s="94"/>
    </row>
    <row r="67" spans="1:16" ht="12.75" customHeight="1">
      <c r="A67" s="225"/>
      <c r="C67" s="69"/>
      <c r="D67" s="33"/>
      <c r="F67" s="33"/>
      <c r="G67" s="33"/>
      <c r="H67" s="33"/>
      <c r="I67" s="94"/>
      <c r="K67" s="4"/>
      <c r="P67" s="94"/>
    </row>
    <row r="68" spans="1:16" ht="12.75" customHeight="1">
      <c r="A68" s="225"/>
      <c r="B68" s="21" t="s">
        <v>756</v>
      </c>
      <c r="C68" s="68" t="s">
        <v>391</v>
      </c>
      <c r="D68" s="4" t="str">
        <f>VLOOKUP($C68,ratings,8,FALSE)</f>
        <v>-</v>
      </c>
      <c r="E68" s="4" t="str">
        <f>VLOOKUP($C68,ratings,10,FALSE)</f>
        <v>-</v>
      </c>
      <c r="F68" s="4" t="str">
        <f>VLOOKUP($C68,ratings,11,FALSE)</f>
        <v>-</v>
      </c>
      <c r="G68" s="4" t="str">
        <f>VLOOKUP($C68,ratings,13,FALSE)</f>
        <v>-</v>
      </c>
      <c r="H68" s="4" t="str">
        <f>VLOOKUP($C68,ratings,15,FALSE)</f>
        <v>-</v>
      </c>
      <c r="I68" s="4" t="str">
        <f>VLOOKUP($C68,ratings,16,FALSE)</f>
        <v>-</v>
      </c>
      <c r="K68" s="4" t="s">
        <v>198</v>
      </c>
      <c r="P68" s="94"/>
    </row>
    <row r="69" spans="1:16" ht="12.75" customHeight="1">
      <c r="A69" s="225"/>
      <c r="C69" s="69" t="s">
        <v>508</v>
      </c>
      <c r="D69" s="33"/>
      <c r="F69" s="33"/>
      <c r="G69" s="33"/>
      <c r="H69" s="33"/>
      <c r="I69" s="94"/>
      <c r="K69" s="4"/>
      <c r="P69" s="94"/>
    </row>
    <row r="70" spans="1:16" ht="12.75" customHeight="1">
      <c r="A70" s="225"/>
      <c r="C70" s="69" t="s">
        <v>509</v>
      </c>
      <c r="D70" s="33"/>
      <c r="F70" s="33"/>
      <c r="G70" s="33"/>
      <c r="H70" s="33"/>
      <c r="I70" s="94"/>
      <c r="K70" s="4"/>
      <c r="P70" s="94"/>
    </row>
    <row r="71" spans="1:16" ht="12.75" customHeight="1">
      <c r="A71" s="225"/>
      <c r="C71" s="69" t="s">
        <v>392</v>
      </c>
      <c r="D71" s="33"/>
      <c r="F71" s="33"/>
      <c r="G71" s="33"/>
      <c r="H71" s="33"/>
      <c r="I71" s="94"/>
      <c r="K71" s="4"/>
      <c r="P71" s="94"/>
    </row>
    <row r="72" spans="1:16" ht="12.75" customHeight="1">
      <c r="A72" s="225"/>
      <c r="C72" s="69"/>
      <c r="D72" s="33"/>
      <c r="F72" s="33"/>
      <c r="G72" s="33"/>
      <c r="H72" s="33"/>
      <c r="I72" s="94"/>
      <c r="K72" s="4"/>
      <c r="P72" s="94"/>
    </row>
    <row r="73" spans="1:16" ht="12.75" customHeight="1">
      <c r="A73" s="225"/>
      <c r="D73" s="34"/>
      <c r="E73" s="35"/>
      <c r="F73" s="34"/>
      <c r="G73" s="34"/>
      <c r="H73" s="34"/>
      <c r="I73" s="95"/>
      <c r="J73" s="94"/>
      <c r="K73" s="36"/>
      <c r="P73" s="94"/>
    </row>
    <row r="74" spans="1:16" ht="12.75" customHeight="1">
      <c r="A74" s="225"/>
      <c r="P74" s="94"/>
    </row>
    <row r="75" spans="1:16" ht="12.75" customHeight="1">
      <c r="A75" s="225"/>
      <c r="P75" s="94"/>
    </row>
    <row r="76" spans="1:16" ht="12.75" customHeight="1">
      <c r="A76" s="225"/>
      <c r="B76" s="31" t="s">
        <v>757</v>
      </c>
      <c r="C76" s="66" t="s">
        <v>792</v>
      </c>
      <c r="D76" s="65"/>
      <c r="E76" s="821" t="s">
        <v>524</v>
      </c>
      <c r="K76" s="21"/>
      <c r="L76" s="21"/>
      <c r="P76" s="94"/>
    </row>
    <row r="77" spans="1:16" ht="12.75" customHeight="1">
      <c r="A77" s="225"/>
      <c r="C77" s="65" t="s">
        <v>793</v>
      </c>
      <c r="D77" s="65"/>
      <c r="E77" s="314" t="s">
        <v>525</v>
      </c>
      <c r="F77" s="65"/>
      <c r="K77" s="65"/>
      <c r="L77" s="65"/>
      <c r="P77" s="94"/>
    </row>
    <row r="78" spans="1:16" ht="12.75" customHeight="1">
      <c r="A78" s="225"/>
      <c r="C78" s="65" t="s">
        <v>794</v>
      </c>
      <c r="D78" s="65"/>
      <c r="E78" s="314" t="s">
        <v>526</v>
      </c>
      <c r="F78" s="65"/>
      <c r="K78" s="65"/>
      <c r="L78" s="65"/>
      <c r="P78" s="94"/>
    </row>
    <row r="79" spans="1:16" ht="12.75" customHeight="1">
      <c r="A79" s="225"/>
      <c r="C79" s="65" t="s">
        <v>193</v>
      </c>
      <c r="D79" s="65"/>
      <c r="E79" s="314" t="s">
        <v>527</v>
      </c>
      <c r="F79" s="65"/>
      <c r="K79" s="65"/>
      <c r="L79" s="65"/>
      <c r="P79" s="94"/>
    </row>
    <row r="80" spans="1:16" ht="12.75" customHeight="1">
      <c r="A80" s="225"/>
      <c r="C80" s="65"/>
      <c r="D80" s="65"/>
      <c r="E80" s="314" t="s">
        <v>528</v>
      </c>
      <c r="F80" s="65"/>
      <c r="K80" s="65"/>
      <c r="L80" s="65"/>
      <c r="P80" s="94"/>
    </row>
    <row r="81" spans="1:16" ht="12.75" customHeight="1">
      <c r="A81" s="225"/>
      <c r="P81" s="94"/>
    </row>
    <row r="82" spans="1:16" ht="12.75" customHeight="1">
      <c r="A82" s="285"/>
      <c r="B82" s="51" t="str">
        <f>VLOOKUP("RatingDate",ratings,17,0)</f>
        <v>Ratings as of 30.06.2025, data source: Bloomberg</v>
      </c>
      <c r="C82" s="97"/>
      <c r="D82" s="37"/>
      <c r="E82" s="37"/>
      <c r="F82" s="37"/>
      <c r="G82" s="37"/>
      <c r="H82" s="37"/>
      <c r="I82" s="37"/>
      <c r="J82" s="37"/>
      <c r="K82" s="37"/>
      <c r="L82" s="37"/>
      <c r="M82" s="37"/>
      <c r="N82" s="37"/>
      <c r="O82" s="37"/>
      <c r="P82" s="95"/>
    </row>
    <row r="83" spans="1:16" ht="15.5">
      <c r="C83" s="12"/>
      <c r="D83" s="25"/>
      <c r="E83" s="25"/>
      <c r="F83" s="25"/>
      <c r="G83" s="25"/>
      <c r="H83" s="25"/>
      <c r="I83" s="25"/>
      <c r="J83" s="25"/>
      <c r="K83" s="25"/>
      <c r="L83" s="25"/>
      <c r="M83" s="25"/>
      <c r="N83" s="25"/>
      <c r="O83" s="25"/>
    </row>
    <row r="84" spans="1:16" ht="15.5">
      <c r="C84" s="12"/>
      <c r="D84" s="25"/>
      <c r="E84" s="25"/>
      <c r="F84" s="25"/>
      <c r="G84" s="25"/>
      <c r="H84" s="25"/>
      <c r="I84" s="25"/>
      <c r="J84" s="25"/>
      <c r="K84" s="25"/>
      <c r="L84" s="25"/>
      <c r="M84" s="25"/>
      <c r="N84" s="25"/>
      <c r="O84" s="25"/>
    </row>
    <row r="85" spans="1:16" ht="15.5">
      <c r="C85" s="12"/>
      <c r="D85" s="25"/>
      <c r="E85" s="25"/>
      <c r="F85" s="25"/>
      <c r="G85" s="25"/>
      <c r="H85" s="25"/>
      <c r="I85" s="25"/>
      <c r="J85" s="25"/>
      <c r="K85" s="25"/>
      <c r="L85" s="25"/>
      <c r="M85" s="25"/>
      <c r="N85" s="25"/>
      <c r="O85" s="25"/>
    </row>
    <row r="86" spans="1:16" ht="15.5">
      <c r="C86" s="315"/>
      <c r="D86" s="38"/>
      <c r="E86" s="38"/>
      <c r="F86" s="38"/>
      <c r="G86" s="8"/>
      <c r="H86" s="8"/>
      <c r="I86" s="8"/>
      <c r="J86" s="8"/>
      <c r="K86" s="8"/>
      <c r="L86" s="8"/>
      <c r="M86" s="8"/>
      <c r="N86" s="252"/>
    </row>
    <row r="87" spans="1:16" ht="15.5">
      <c r="C87" s="315"/>
      <c r="D87" s="38"/>
      <c r="E87" s="38"/>
      <c r="F87" s="38"/>
      <c r="G87" s="8"/>
      <c r="H87" s="8"/>
      <c r="I87" s="8"/>
      <c r="J87" s="8"/>
      <c r="K87" s="8"/>
      <c r="L87" s="8"/>
      <c r="M87" s="8"/>
    </row>
    <row r="88" spans="1:16" ht="15.5">
      <c r="D88" s="39"/>
      <c r="H88" s="21"/>
      <c r="M88" s="8"/>
    </row>
    <row r="89" spans="1:16" ht="15.5">
      <c r="M89" s="8"/>
    </row>
    <row r="90" spans="1:16" ht="15.5">
      <c r="M90" s="8"/>
    </row>
    <row r="91" spans="1:16" ht="15.5">
      <c r="M91" s="8"/>
    </row>
    <row r="92" spans="1:16" ht="15.5">
      <c r="M92" s="8"/>
    </row>
    <row r="93" spans="1:16" ht="15.5">
      <c r="C93" s="38"/>
      <c r="D93" s="38"/>
      <c r="E93" s="38"/>
      <c r="F93" s="38"/>
      <c r="G93" s="8"/>
      <c r="H93" s="8"/>
      <c r="I93" s="8"/>
      <c r="J93" s="8"/>
      <c r="K93" s="8"/>
      <c r="L93" s="8"/>
      <c r="M93" s="8"/>
    </row>
    <row r="94" spans="1:16" ht="14">
      <c r="D94" s="194"/>
      <c r="E94" s="221"/>
      <c r="F94" s="291"/>
      <c r="G94" s="291"/>
      <c r="H94" s="291"/>
      <c r="I94" s="252"/>
      <c r="J94" s="252"/>
      <c r="K94" s="252"/>
      <c r="L94" s="252"/>
    </row>
    <row r="95" spans="1:16" ht="14">
      <c r="B95" s="191"/>
      <c r="C95" s="220"/>
      <c r="D95" s="292"/>
      <c r="E95" s="221"/>
      <c r="F95" s="291"/>
      <c r="G95" s="291"/>
      <c r="H95" s="291"/>
      <c r="I95" s="252"/>
      <c r="J95" s="252"/>
      <c r="K95" s="252"/>
      <c r="L95" s="252"/>
    </row>
    <row r="96" spans="1:16" ht="14">
      <c r="B96" s="293"/>
      <c r="C96" s="220"/>
      <c r="D96" s="291"/>
      <c r="E96" s="221"/>
      <c r="F96" s="291"/>
      <c r="G96" s="291"/>
      <c r="H96" s="291"/>
      <c r="I96" s="252"/>
      <c r="J96" s="252"/>
      <c r="K96" s="252"/>
      <c r="L96" s="252"/>
    </row>
    <row r="97" spans="3:12">
      <c r="C97" s="220"/>
      <c r="I97" s="252"/>
      <c r="J97" s="252"/>
      <c r="K97" s="252"/>
      <c r="L97" s="252"/>
    </row>
    <row r="98" spans="3:12">
      <c r="I98" s="252"/>
      <c r="J98" s="252"/>
      <c r="K98" s="252"/>
      <c r="L98" s="252"/>
    </row>
    <row r="99" spans="3:12">
      <c r="I99" s="252"/>
      <c r="J99" s="252"/>
      <c r="K99" s="252"/>
      <c r="L99" s="252"/>
    </row>
    <row r="100" spans="3:12">
      <c r="I100" s="252"/>
      <c r="J100" s="252"/>
      <c r="K100" s="252"/>
      <c r="L100" s="252"/>
    </row>
    <row r="101" spans="3:12">
      <c r="I101" s="252"/>
      <c r="J101" s="252"/>
      <c r="K101" s="252"/>
      <c r="L101" s="252"/>
    </row>
    <row r="102" spans="3:12">
      <c r="I102" s="252"/>
      <c r="J102" s="252"/>
      <c r="K102" s="252"/>
      <c r="L102" s="252"/>
    </row>
    <row r="103" spans="3:12">
      <c r="I103" s="252"/>
      <c r="J103" s="252"/>
      <c r="K103" s="252"/>
      <c r="L103" s="252"/>
    </row>
    <row r="104" spans="3:12">
      <c r="I104" s="252"/>
      <c r="J104" s="252"/>
      <c r="K104" s="252"/>
      <c r="L104" s="252"/>
    </row>
    <row r="105" spans="3:12">
      <c r="I105" s="252"/>
      <c r="J105" s="252"/>
      <c r="K105" s="252"/>
      <c r="L105" s="252"/>
    </row>
    <row r="106" spans="3:12">
      <c r="I106" s="252"/>
      <c r="J106" s="252"/>
      <c r="K106" s="252"/>
      <c r="L106" s="252"/>
    </row>
    <row r="107" spans="3:12">
      <c r="I107" s="252"/>
      <c r="J107" s="252"/>
      <c r="K107" s="252"/>
      <c r="L107" s="252"/>
    </row>
    <row r="108" spans="3:12">
      <c r="I108" s="252"/>
      <c r="J108" s="252"/>
      <c r="K108" s="252"/>
      <c r="L108" s="252"/>
    </row>
    <row r="109" spans="3:12">
      <c r="I109" s="252"/>
      <c r="J109" s="252"/>
      <c r="K109" s="252"/>
      <c r="L109" s="252"/>
    </row>
    <row r="110" spans="3:12">
      <c r="I110" s="252"/>
      <c r="J110" s="252"/>
      <c r="K110" s="252"/>
      <c r="L110" s="252"/>
    </row>
    <row r="111" spans="3:12">
      <c r="I111" s="252"/>
      <c r="J111" s="252"/>
      <c r="K111" s="252"/>
      <c r="L111" s="252"/>
    </row>
    <row r="112" spans="3: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08" spans="9:12">
      <c r="I308" s="252"/>
      <c r="J308" s="252"/>
      <c r="K308" s="252"/>
      <c r="L308" s="252"/>
    </row>
    <row r="309" spans="9:12">
      <c r="I309" s="252"/>
      <c r="J309" s="252"/>
      <c r="K309" s="252"/>
      <c r="L309" s="252"/>
    </row>
    <row r="310" spans="9:12">
      <c r="I310" s="252"/>
      <c r="J310" s="252"/>
      <c r="K310" s="252"/>
      <c r="L310" s="252"/>
    </row>
    <row r="311" spans="9:12">
      <c r="I311" s="252"/>
      <c r="J311" s="252"/>
      <c r="K311" s="252"/>
      <c r="L311" s="252"/>
    </row>
    <row r="312" spans="9:12">
      <c r="I312" s="252"/>
      <c r="J312" s="252"/>
      <c r="K312" s="252"/>
      <c r="L312" s="252"/>
    </row>
    <row r="313" spans="9:12">
      <c r="I313" s="252"/>
      <c r="J313" s="252"/>
      <c r="K313" s="252"/>
      <c r="L313" s="252"/>
    </row>
    <row r="314" spans="9:12">
      <c r="I314" s="252"/>
      <c r="J314" s="252"/>
      <c r="K314" s="252"/>
      <c r="L314" s="252"/>
    </row>
    <row r="315" spans="9:12">
      <c r="I315" s="252"/>
      <c r="J315" s="252"/>
      <c r="K315" s="252"/>
      <c r="L315" s="252"/>
    </row>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5"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2024-2</v>
      </c>
      <c r="C2" s="226"/>
      <c r="D2" s="227" t="str">
        <f>'Cover Sheet'!D2</f>
        <v>Calculation Date</v>
      </c>
      <c r="E2" s="228"/>
      <c r="F2" s="229">
        <f>'Cover Sheet'!F2</f>
        <v>45848</v>
      </c>
      <c r="G2" s="228"/>
      <c r="H2" s="228"/>
      <c r="I2" s="228"/>
      <c r="J2" s="230"/>
      <c r="K2" s="294"/>
    </row>
    <row r="3" spans="1:16" ht="18">
      <c r="A3" s="225"/>
      <c r="B3" s="226" t="str">
        <f>'Cover Sheet'!B3</f>
        <v>Monthly Investor Report</v>
      </c>
      <c r="C3" s="226"/>
      <c r="D3" s="232" t="str">
        <f>'Cover Sheet'!D3</f>
        <v>Payment Date</v>
      </c>
      <c r="E3" s="233"/>
      <c r="F3" s="234">
        <f>'Cover Sheet'!F3</f>
        <v>45852</v>
      </c>
      <c r="G3" s="233"/>
      <c r="H3" s="233"/>
      <c r="I3" s="233"/>
      <c r="J3" s="235"/>
      <c r="K3" s="295"/>
    </row>
    <row r="4" spans="1:16" ht="13">
      <c r="A4" s="225"/>
      <c r="B4" s="236"/>
      <c r="C4" s="109"/>
      <c r="D4" s="232" t="str">
        <f>'Cover Sheet'!D4</f>
        <v>Period  No</v>
      </c>
      <c r="E4" s="233"/>
      <c r="F4" s="237">
        <f>'Cover Sheet'!F4</f>
        <v>8</v>
      </c>
      <c r="G4" s="233"/>
      <c r="H4" s="238"/>
      <c r="I4" s="233"/>
      <c r="J4" s="239"/>
      <c r="K4" s="294"/>
    </row>
    <row r="5" spans="1:16" ht="18">
      <c r="A5" s="225"/>
      <c r="B5" s="240" t="s">
        <v>359</v>
      </c>
      <c r="C5" s="240"/>
      <c r="D5" s="232" t="str">
        <f>'Cover Sheet'!D5</f>
        <v>Monthly Period</v>
      </c>
      <c r="E5" s="233"/>
      <c r="F5" s="130">
        <f>'Cover Sheet'!F5</f>
        <v>45852</v>
      </c>
      <c r="G5" s="233"/>
      <c r="H5" s="238"/>
      <c r="I5" s="233"/>
      <c r="J5" s="239"/>
      <c r="K5" s="295"/>
    </row>
    <row r="6" spans="1:16" ht="15" customHeight="1">
      <c r="A6" s="225"/>
      <c r="B6" s="241"/>
      <c r="C6" s="236"/>
      <c r="D6" s="242" t="str">
        <f>'Cover Sheet'!D6</f>
        <v>Interest Period</v>
      </c>
      <c r="E6" s="234" t="s">
        <v>34</v>
      </c>
      <c r="F6" s="234">
        <f>'Cover Sheet'!F6</f>
        <v>45824</v>
      </c>
      <c r="G6" s="234" t="s">
        <v>4</v>
      </c>
      <c r="H6" s="234">
        <f>'Cover Sheet'!H6</f>
        <v>45852</v>
      </c>
      <c r="I6" s="243" t="s">
        <v>15</v>
      </c>
      <c r="J6" s="244" t="str">
        <f>'Cover Sheet'!J6</f>
        <v>28 days</v>
      </c>
      <c r="K6" s="295"/>
      <c r="M6" s="296"/>
    </row>
    <row r="7" spans="1:16" ht="13">
      <c r="A7" s="225"/>
      <c r="D7" s="246" t="str">
        <f>'Cover Sheet'!D7</f>
        <v>Collection Period</v>
      </c>
      <c r="E7" s="247" t="s">
        <v>34</v>
      </c>
      <c r="F7" s="247" t="str">
        <f>'Cover Sheet'!F7</f>
        <v>01.06.2025</v>
      </c>
      <c r="G7" s="247" t="s">
        <v>4</v>
      </c>
      <c r="H7" s="247">
        <f>'Cover Sheet'!H7</f>
        <v>45838</v>
      </c>
      <c r="I7" s="248"/>
      <c r="J7" s="249"/>
      <c r="K7" s="295"/>
    </row>
    <row r="8" spans="1:16" ht="13">
      <c r="A8" s="225"/>
      <c r="E8" s="231"/>
      <c r="F8" s="5"/>
      <c r="G8" s="231"/>
      <c r="I8" s="250"/>
      <c r="K8" s="295"/>
    </row>
    <row r="9" spans="1:16" ht="13">
      <c r="A9" s="225"/>
      <c r="K9" s="94"/>
      <c r="M9" s="21"/>
    </row>
    <row r="10" spans="1:16">
      <c r="A10" s="225"/>
      <c r="F10" s="252"/>
      <c r="K10" s="94"/>
    </row>
    <row r="11" spans="1:16" ht="17.5">
      <c r="A11" s="225"/>
      <c r="B11" s="253"/>
      <c r="G11" s="254"/>
      <c r="H11" s="254"/>
      <c r="K11" s="94"/>
      <c r="M11" s="252"/>
    </row>
    <row r="12" spans="1:16" ht="12.75" customHeight="1">
      <c r="A12" s="225"/>
      <c r="B12" s="297"/>
      <c r="G12" s="254"/>
      <c r="H12" s="254"/>
      <c r="K12" s="94"/>
      <c r="M12" s="252"/>
    </row>
    <row r="13" spans="1:16" ht="12.75" customHeight="1">
      <c r="A13" s="225"/>
      <c r="B13" s="20" t="s">
        <v>186</v>
      </c>
      <c r="D13" s="21" t="s">
        <v>762</v>
      </c>
      <c r="F13" s="298"/>
      <c r="G13" s="299"/>
      <c r="H13" s="299"/>
      <c r="I13" s="252"/>
      <c r="K13" s="94"/>
      <c r="M13" s="252"/>
      <c r="P13" s="21"/>
    </row>
    <row r="14" spans="1:16" ht="12.75" customHeight="1">
      <c r="A14" s="225"/>
      <c r="B14" s="20"/>
      <c r="F14" s="300"/>
      <c r="G14" s="300"/>
      <c r="H14" s="301"/>
      <c r="I14" s="168"/>
      <c r="K14" s="94"/>
      <c r="M14" s="252"/>
    </row>
    <row r="15" spans="1:16" ht="12.75" customHeight="1">
      <c r="A15" s="225"/>
      <c r="B15" s="20" t="s">
        <v>187</v>
      </c>
      <c r="D15" s="21" t="s">
        <v>795</v>
      </c>
      <c r="F15" s="23"/>
      <c r="G15" s="23"/>
      <c r="H15" s="302"/>
      <c r="I15" s="206"/>
      <c r="K15" s="94"/>
      <c r="M15" s="252"/>
      <c r="P15" s="21"/>
    </row>
    <row r="16" spans="1:16" ht="12.75" customHeight="1">
      <c r="A16" s="225"/>
      <c r="B16" s="20"/>
      <c r="D16" s="22" t="s">
        <v>192</v>
      </c>
      <c r="F16" s="23"/>
      <c r="G16" s="23"/>
      <c r="H16" s="302"/>
      <c r="I16" s="206"/>
      <c r="K16" s="94"/>
      <c r="M16" s="252"/>
    </row>
    <row r="17" spans="1:16" ht="12.75" customHeight="1">
      <c r="A17" s="225"/>
      <c r="B17" s="20"/>
      <c r="D17" s="65" t="s">
        <v>248</v>
      </c>
      <c r="E17" s="62"/>
      <c r="F17" s="303"/>
      <c r="G17" s="23"/>
      <c r="H17" s="302"/>
      <c r="I17" s="206"/>
      <c r="K17" s="94"/>
      <c r="M17" s="252"/>
    </row>
    <row r="18" spans="1:16" ht="12.75" customHeight="1">
      <c r="A18" s="225"/>
      <c r="B18" s="20"/>
      <c r="D18" s="65" t="s">
        <v>250</v>
      </c>
      <c r="E18" s="62"/>
      <c r="F18" s="303"/>
      <c r="G18" s="23"/>
      <c r="H18" s="302"/>
      <c r="I18" s="206"/>
      <c r="K18" s="94"/>
      <c r="M18" s="252"/>
    </row>
    <row r="19" spans="1:16" ht="12.75" customHeight="1">
      <c r="A19" s="225"/>
      <c r="B19" s="20"/>
      <c r="D19" s="65" t="s">
        <v>249</v>
      </c>
      <c r="E19" s="62"/>
      <c r="F19" s="303"/>
      <c r="G19" s="23"/>
      <c r="H19" s="302"/>
      <c r="I19" s="206"/>
      <c r="K19" s="94"/>
      <c r="M19" s="252"/>
    </row>
    <row r="20" spans="1:16" ht="12.75" customHeight="1">
      <c r="A20" s="225"/>
      <c r="B20" s="20"/>
      <c r="F20" s="23"/>
      <c r="G20" s="23"/>
      <c r="H20" s="302"/>
      <c r="I20" s="206"/>
      <c r="K20" s="94"/>
      <c r="M20" s="252"/>
    </row>
    <row r="21" spans="1:16" ht="12.75" customHeight="1">
      <c r="A21" s="225"/>
      <c r="B21" s="20" t="s">
        <v>203</v>
      </c>
      <c r="D21" s="22" t="s">
        <v>377</v>
      </c>
      <c r="E21" s="65"/>
      <c r="F21" s="23"/>
      <c r="G21" s="23"/>
      <c r="H21" s="302"/>
      <c r="I21" s="206"/>
      <c r="K21" s="94"/>
      <c r="M21" s="252"/>
    </row>
    <row r="22" spans="1:16" ht="12.75" customHeight="1">
      <c r="A22" s="225"/>
      <c r="B22" s="20"/>
      <c r="F22" s="23"/>
      <c r="G22" s="23"/>
      <c r="H22" s="302"/>
      <c r="I22" s="206"/>
      <c r="K22" s="94"/>
      <c r="M22" s="252"/>
    </row>
    <row r="23" spans="1:16" ht="12.75" customHeight="1">
      <c r="A23" s="225"/>
      <c r="B23" s="20" t="s">
        <v>188</v>
      </c>
      <c r="D23" s="21" t="s">
        <v>194</v>
      </c>
      <c r="F23" s="23"/>
      <c r="G23" s="23"/>
      <c r="H23" s="302"/>
      <c r="I23" s="206"/>
      <c r="K23" s="94"/>
      <c r="M23" s="252"/>
      <c r="P23" s="21"/>
    </row>
    <row r="24" spans="1:16" ht="12.75" customHeight="1">
      <c r="A24" s="225"/>
      <c r="B24" s="20"/>
      <c r="F24" s="23"/>
      <c r="G24" s="23"/>
      <c r="H24" s="302"/>
      <c r="I24" s="206"/>
      <c r="K24" s="94"/>
      <c r="M24" s="252"/>
    </row>
    <row r="25" spans="1:16" ht="12.75" customHeight="1">
      <c r="A25" s="225"/>
      <c r="B25" s="20" t="s">
        <v>189</v>
      </c>
      <c r="D25" s="21" t="s">
        <v>194</v>
      </c>
      <c r="F25" s="23"/>
      <c r="G25" s="23"/>
      <c r="H25" s="302"/>
      <c r="I25" s="206"/>
      <c r="K25" s="94"/>
      <c r="M25" s="252"/>
      <c r="P25" s="21"/>
    </row>
    <row r="26" spans="1:16" ht="12.75" customHeight="1">
      <c r="A26" s="225"/>
      <c r="B26" s="20"/>
      <c r="F26" s="23"/>
      <c r="G26" s="23"/>
      <c r="H26" s="302"/>
      <c r="I26" s="206"/>
      <c r="K26" s="94"/>
      <c r="M26" s="252"/>
    </row>
    <row r="27" spans="1:16" ht="12.75" customHeight="1">
      <c r="A27" s="225"/>
      <c r="B27" s="20" t="s">
        <v>190</v>
      </c>
      <c r="D27" s="21" t="s">
        <v>194</v>
      </c>
      <c r="F27" s="24"/>
      <c r="G27" s="24"/>
      <c r="H27" s="302"/>
      <c r="I27" s="206"/>
      <c r="K27" s="94"/>
      <c r="M27" s="252"/>
      <c r="P27" s="21"/>
    </row>
    <row r="28" spans="1:16" ht="12.75" customHeight="1">
      <c r="A28" s="225"/>
      <c r="B28" s="20"/>
      <c r="D28" s="22" t="s">
        <v>113</v>
      </c>
      <c r="F28" s="304"/>
      <c r="G28" s="305"/>
      <c r="H28" s="302"/>
      <c r="I28" s="206"/>
      <c r="K28" s="94"/>
      <c r="M28" s="252"/>
    </row>
    <row r="29" spans="1:16" ht="12.75" customHeight="1">
      <c r="A29" s="225"/>
      <c r="D29" s="22" t="s">
        <v>195</v>
      </c>
      <c r="F29" s="23"/>
      <c r="G29" s="23"/>
      <c r="H29" s="302"/>
      <c r="I29" s="206"/>
      <c r="K29" s="94"/>
      <c r="M29" s="252"/>
    </row>
    <row r="30" spans="1:16" ht="12.75" customHeight="1">
      <c r="A30" s="225"/>
      <c r="B30" s="20"/>
      <c r="D30" s="22" t="s">
        <v>196</v>
      </c>
      <c r="F30" s="23"/>
      <c r="G30" s="23"/>
      <c r="H30" s="302"/>
      <c r="I30" s="211"/>
      <c r="K30" s="94"/>
      <c r="M30" s="252"/>
    </row>
    <row r="31" spans="1:16" ht="12.75" customHeight="1">
      <c r="A31" s="225"/>
      <c r="B31" s="20"/>
      <c r="D31" s="22" t="s">
        <v>193</v>
      </c>
      <c r="F31" s="306"/>
      <c r="G31" s="307"/>
      <c r="H31" s="306"/>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251</v>
      </c>
      <c r="E35" s="62"/>
      <c r="F35" s="63"/>
      <c r="G35" s="25"/>
      <c r="H35" s="25"/>
      <c r="I35" s="25"/>
      <c r="K35" s="94"/>
      <c r="M35" s="252"/>
      <c r="P35" s="21"/>
    </row>
    <row r="36" spans="1:16" ht="12.75" customHeight="1">
      <c r="A36" s="225"/>
      <c r="B36" s="20"/>
      <c r="D36" s="65" t="s">
        <v>248</v>
      </c>
      <c r="E36" s="62"/>
      <c r="F36" s="63"/>
      <c r="G36" s="25"/>
      <c r="H36" s="25"/>
      <c r="I36" s="252"/>
      <c r="J36" s="252"/>
      <c r="K36" s="94"/>
    </row>
    <row r="37" spans="1:16" ht="12.75" customHeight="1">
      <c r="A37" s="225"/>
      <c r="D37" s="65" t="s">
        <v>250</v>
      </c>
      <c r="E37" s="62"/>
      <c r="F37" s="63"/>
      <c r="G37" s="25"/>
      <c r="H37" s="25"/>
      <c r="I37" s="252"/>
      <c r="K37" s="94"/>
    </row>
    <row r="38" spans="1:16" ht="12.75" customHeight="1">
      <c r="A38" s="225"/>
      <c r="B38" s="20"/>
      <c r="D38" s="65" t="s">
        <v>249</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5"/>
      <c r="B41" s="26"/>
      <c r="C41" s="10"/>
      <c r="D41" s="308"/>
      <c r="E41" s="10"/>
      <c r="F41" s="286"/>
      <c r="G41" s="309"/>
      <c r="H41" s="286"/>
      <c r="I41" s="287"/>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88"/>
      <c r="E69" s="289"/>
      <c r="F69" s="219"/>
      <c r="G69" s="290"/>
      <c r="H69" s="219"/>
      <c r="I69" s="252"/>
    </row>
    <row r="70" spans="2:9">
      <c r="B70" s="13"/>
      <c r="C70" s="12"/>
      <c r="D70" s="288"/>
      <c r="E70" s="288"/>
      <c r="F70" s="288"/>
      <c r="G70" s="288"/>
      <c r="H70" s="288"/>
      <c r="I70" s="252"/>
    </row>
    <row r="71" spans="2:9">
      <c r="B71" s="13"/>
      <c r="C71" s="12"/>
      <c r="D71" s="288"/>
      <c r="E71" s="288"/>
      <c r="F71" s="288"/>
      <c r="G71" s="288"/>
      <c r="H71" s="288"/>
      <c r="I71" s="252"/>
    </row>
    <row r="72" spans="2:9">
      <c r="B72" s="13"/>
      <c r="C72" s="12"/>
      <c r="D72" s="191"/>
      <c r="E72" s="220"/>
      <c r="F72" s="288"/>
      <c r="G72" s="288"/>
      <c r="H72" s="288"/>
      <c r="I72" s="252"/>
    </row>
    <row r="73" spans="2:9">
      <c r="B73" s="13"/>
      <c r="C73" s="12"/>
      <c r="D73" s="289"/>
      <c r="E73" s="220"/>
      <c r="F73" s="288"/>
      <c r="G73" s="288"/>
      <c r="H73" s="288"/>
      <c r="I73" s="252"/>
    </row>
    <row r="74" spans="2:9">
      <c r="B74" s="13"/>
      <c r="C74" s="12"/>
      <c r="D74" s="288"/>
      <c r="E74" s="220"/>
      <c r="F74" s="288"/>
      <c r="G74" s="288"/>
      <c r="H74" s="288"/>
      <c r="I74" s="252"/>
    </row>
    <row r="75" spans="2:9" ht="14">
      <c r="B75" s="288"/>
      <c r="C75" s="289"/>
      <c r="D75" s="291"/>
      <c r="E75" s="291"/>
      <c r="F75" s="291"/>
      <c r="G75" s="291"/>
      <c r="H75" s="291"/>
      <c r="I75" s="252"/>
    </row>
    <row r="76" spans="2:9" ht="14">
      <c r="D76" s="291"/>
      <c r="E76" s="291"/>
      <c r="F76" s="291"/>
      <c r="G76" s="291"/>
      <c r="H76" s="291"/>
      <c r="I76" s="252"/>
    </row>
    <row r="77" spans="2:9" ht="14">
      <c r="D77" s="194"/>
      <c r="E77" s="221"/>
      <c r="F77" s="291"/>
      <c r="G77" s="291"/>
      <c r="H77" s="291"/>
      <c r="I77" s="252"/>
    </row>
    <row r="78" spans="2:9" ht="14">
      <c r="B78" s="191"/>
      <c r="C78" s="220"/>
      <c r="D78" s="292"/>
      <c r="E78" s="221"/>
      <c r="F78" s="291"/>
      <c r="G78" s="291"/>
      <c r="H78" s="291"/>
      <c r="I78" s="252"/>
    </row>
    <row r="79" spans="2:9" ht="14">
      <c r="B79" s="293"/>
      <c r="C79" s="220"/>
      <c r="D79" s="291"/>
      <c r="E79" s="221"/>
      <c r="F79" s="291"/>
      <c r="G79" s="291"/>
      <c r="H79" s="291"/>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2024-2</v>
      </c>
      <c r="C2" s="226"/>
      <c r="D2" s="227" t="str">
        <f>'Cover Sheet'!D2</f>
        <v>Calculation Date</v>
      </c>
      <c r="E2" s="228"/>
      <c r="F2" s="229">
        <f>'Cover Sheet'!F2</f>
        <v>45848</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45852</v>
      </c>
      <c r="G3" s="233"/>
      <c r="H3" s="233"/>
      <c r="I3" s="233"/>
      <c r="J3" s="233"/>
      <c r="K3" s="233"/>
      <c r="L3" s="233"/>
      <c r="M3" s="235"/>
      <c r="N3" s="78"/>
      <c r="O3" s="78"/>
      <c r="Q3" s="94"/>
    </row>
    <row r="4" spans="1:17" ht="13">
      <c r="A4" s="225"/>
      <c r="B4" s="236"/>
      <c r="C4" s="236"/>
      <c r="D4" s="232" t="str">
        <f>'Cover Sheet'!D4</f>
        <v>Period  No</v>
      </c>
      <c r="E4" s="233"/>
      <c r="F4" s="237">
        <f>'Cover Sheet'!F4</f>
        <v>8</v>
      </c>
      <c r="G4" s="233"/>
      <c r="H4" s="238"/>
      <c r="I4" s="233"/>
      <c r="J4" s="233"/>
      <c r="K4" s="233"/>
      <c r="L4" s="233"/>
      <c r="M4" s="239"/>
      <c r="N4" s="231"/>
      <c r="O4" s="231"/>
      <c r="Q4" s="94"/>
    </row>
    <row r="5" spans="1:17" ht="18">
      <c r="A5" s="225"/>
      <c r="B5" s="240" t="s">
        <v>356</v>
      </c>
      <c r="C5" s="240"/>
      <c r="D5" s="232" t="str">
        <f>'Cover Sheet'!D5</f>
        <v>Monthly Period</v>
      </c>
      <c r="E5" s="233"/>
      <c r="F5" s="130">
        <f>'Cover Sheet'!F5</f>
        <v>45852</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45824</v>
      </c>
      <c r="G6" s="234" t="s">
        <v>4</v>
      </c>
      <c r="H6" s="234">
        <f>'Cover Sheet'!H6</f>
        <v>45852</v>
      </c>
      <c r="I6" s="243" t="s">
        <v>15</v>
      </c>
      <c r="J6" s="243"/>
      <c r="K6" s="243"/>
      <c r="L6" s="243"/>
      <c r="M6" s="244" t="str">
        <f>'Cover Sheet'!J6</f>
        <v>28 days</v>
      </c>
      <c r="N6" s="78"/>
      <c r="O6" s="78"/>
      <c r="Q6" s="245"/>
    </row>
    <row r="7" spans="1:17" ht="13">
      <c r="A7" s="225"/>
      <c r="D7" s="246" t="str">
        <f>'Cover Sheet'!D7</f>
        <v>Collection Period</v>
      </c>
      <c r="E7" s="247" t="s">
        <v>34</v>
      </c>
      <c r="F7" s="247" t="str">
        <f>'Cover Sheet'!F7</f>
        <v>01.06.2025</v>
      </c>
      <c r="G7" s="247" t="s">
        <v>4</v>
      </c>
      <c r="H7" s="247">
        <f>'Cover Sheet'!H7</f>
        <v>45838</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254</v>
      </c>
      <c r="C13" s="226"/>
      <c r="E13" s="256"/>
      <c r="F13" s="256"/>
      <c r="G13" s="257"/>
      <c r="H13" s="258"/>
      <c r="I13" s="258"/>
      <c r="J13" s="258"/>
      <c r="K13" s="258"/>
      <c r="L13" s="258"/>
      <c r="M13" s="252"/>
      <c r="Q13" s="255"/>
    </row>
    <row r="14" spans="1:17" ht="12.75" customHeight="1">
      <c r="A14" s="225"/>
      <c r="B14" s="22" t="s">
        <v>255</v>
      </c>
      <c r="C14" s="259" t="s">
        <v>104</v>
      </c>
      <c r="E14" s="260"/>
      <c r="F14" s="261"/>
      <c r="G14" s="262"/>
      <c r="H14" s="262"/>
      <c r="I14" s="263"/>
      <c r="J14" s="263"/>
      <c r="K14" s="263"/>
      <c r="L14" s="263"/>
      <c r="M14" s="258"/>
      <c r="Q14" s="255"/>
    </row>
    <row r="15" spans="1:17">
      <c r="A15" s="225"/>
      <c r="B15" s="40" t="s">
        <v>256</v>
      </c>
      <c r="C15" s="811"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07" t="s">
        <v>791</v>
      </c>
      <c r="E17" s="908"/>
      <c r="F17" s="909"/>
      <c r="G17" s="907" t="s">
        <v>523</v>
      </c>
      <c r="H17" s="908"/>
      <c r="I17" s="909"/>
      <c r="N17" s="252"/>
      <c r="Q17" s="94"/>
    </row>
    <row r="18" spans="1:17" ht="81" customHeight="1">
      <c r="A18" s="225"/>
      <c r="B18" s="267" t="s">
        <v>258</v>
      </c>
      <c r="C18" s="268" t="s">
        <v>259</v>
      </c>
      <c r="D18" s="75" t="s">
        <v>260</v>
      </c>
      <c r="E18" s="75" t="s">
        <v>108</v>
      </c>
      <c r="F18" s="75" t="s">
        <v>109</v>
      </c>
      <c r="G18" s="790" t="s">
        <v>698</v>
      </c>
      <c r="H18" s="75" t="s">
        <v>109</v>
      </c>
      <c r="I18" s="269" t="s">
        <v>261</v>
      </c>
      <c r="M18" s="252"/>
      <c r="Q18" s="94"/>
    </row>
    <row r="19" spans="1:17" ht="8.25" customHeight="1">
      <c r="A19" s="225"/>
      <c r="B19" s="270"/>
      <c r="C19" s="33"/>
      <c r="D19" s="271"/>
      <c r="E19" s="272"/>
      <c r="F19" s="273"/>
      <c r="G19" s="271"/>
      <c r="H19" s="272"/>
      <c r="I19" s="274"/>
      <c r="M19" s="252"/>
      <c r="Q19" s="94"/>
    </row>
    <row r="20" spans="1:17" ht="25">
      <c r="A20" s="225"/>
      <c r="B20" s="270" t="s">
        <v>262</v>
      </c>
      <c r="C20" s="275" t="s">
        <v>374</v>
      </c>
      <c r="D20" s="848" t="s">
        <v>809</v>
      </c>
      <c r="E20" s="848" t="s">
        <v>810</v>
      </c>
      <c r="F20" s="848"/>
      <c r="G20" s="848" t="s">
        <v>809</v>
      </c>
      <c r="H20" s="848"/>
      <c r="I20" s="851" t="s">
        <v>43</v>
      </c>
      <c r="J20" s="270"/>
      <c r="M20" s="252"/>
      <c r="Q20" s="94"/>
    </row>
    <row r="21" spans="1:17" ht="7.5" customHeight="1">
      <c r="A21" s="225"/>
      <c r="B21" s="270"/>
      <c r="C21" s="33"/>
      <c r="D21" s="849"/>
      <c r="E21" s="5"/>
      <c r="F21" s="93"/>
      <c r="G21" s="849"/>
      <c r="H21" s="5"/>
      <c r="I21" s="5"/>
      <c r="J21" s="270"/>
      <c r="M21" s="252"/>
      <c r="Q21" s="94"/>
    </row>
    <row r="22" spans="1:17" ht="25.5" customHeight="1">
      <c r="A22" s="225"/>
      <c r="B22" s="270" t="s">
        <v>263</v>
      </c>
      <c r="C22" s="275" t="s">
        <v>405</v>
      </c>
      <c r="D22" s="848" t="s">
        <v>811</v>
      </c>
      <c r="E22" s="848" t="s">
        <v>375</v>
      </c>
      <c r="F22" s="848"/>
      <c r="G22" s="848" t="s">
        <v>812</v>
      </c>
      <c r="H22" s="848"/>
      <c r="I22" s="851" t="s">
        <v>43</v>
      </c>
      <c r="J22" s="270"/>
      <c r="M22" s="252"/>
      <c r="Q22" s="94"/>
    </row>
    <row r="23" spans="1:17" ht="9" customHeight="1">
      <c r="A23" s="225"/>
      <c r="B23" s="76"/>
      <c r="C23" s="88"/>
      <c r="D23" s="850"/>
      <c r="E23" s="5"/>
      <c r="F23" s="93"/>
      <c r="G23" s="850"/>
      <c r="H23" s="5"/>
      <c r="I23" s="845"/>
      <c r="M23" s="252"/>
      <c r="Q23" s="94"/>
    </row>
    <row r="24" spans="1:17" ht="13">
      <c r="A24" s="225"/>
      <c r="B24" s="276" t="s">
        <v>264</v>
      </c>
      <c r="C24" s="277"/>
      <c r="D24" s="848" t="str">
        <f>VLOOKUP($C$14,ratings,12,FALSE)</f>
        <v>A+(dcr)</v>
      </c>
      <c r="E24" s="848" t="str">
        <f>VLOOKUP($C$14,ratings,10,FALSE)</f>
        <v>F1</v>
      </c>
      <c r="F24" s="848" t="str">
        <f>VLOOKUP($C$14,ratings,11,FALSE)</f>
        <v>STABLE</v>
      </c>
      <c r="G24" s="848" t="str">
        <f>VLOOKUP($C$14,ratings,13,FALSE)</f>
        <v>AH</v>
      </c>
      <c r="H24" s="848" t="str">
        <f>VLOOKUP($C$14,ratings,16,FALSE)</f>
        <v>STABLE</v>
      </c>
      <c r="I24" s="846"/>
      <c r="M24" s="252"/>
      <c r="Q24" s="94"/>
    </row>
    <row r="25" spans="1:17" ht="13.5" thickBot="1">
      <c r="A25" s="225"/>
      <c r="B25" s="278"/>
      <c r="C25" s="279"/>
      <c r="D25" s="77"/>
      <c r="E25" s="77"/>
      <c r="F25" s="77"/>
      <c r="G25" s="77"/>
      <c r="H25" s="77"/>
      <c r="I25" s="280"/>
      <c r="M25" s="252"/>
      <c r="Q25" s="94"/>
    </row>
    <row r="26" spans="1:17" ht="13">
      <c r="A26" s="225"/>
      <c r="D26" s="78"/>
      <c r="E26" s="78"/>
      <c r="F26" s="78"/>
      <c r="G26" s="78"/>
      <c r="H26" s="78"/>
      <c r="I26" s="78"/>
      <c r="J26" s="78"/>
      <c r="K26" s="78"/>
      <c r="L26" s="78"/>
      <c r="M26" s="78"/>
      <c r="N26" s="78"/>
      <c r="O26" s="78"/>
      <c r="Q26" s="255"/>
    </row>
    <row r="27" spans="1:17" ht="18">
      <c r="A27" s="225"/>
      <c r="B27" s="226" t="s">
        <v>265</v>
      </c>
      <c r="C27" s="226"/>
      <c r="D27" s="73"/>
      <c r="E27" s="226" t="s">
        <v>266</v>
      </c>
      <c r="G27" s="265"/>
      <c r="H27" s="266"/>
      <c r="I27" s="226" t="s">
        <v>267</v>
      </c>
      <c r="J27" s="226"/>
      <c r="K27" s="226"/>
      <c r="L27" s="226"/>
      <c r="M27" s="74"/>
      <c r="Q27" s="255"/>
    </row>
    <row r="28" spans="1:17">
      <c r="A28" s="225"/>
      <c r="B28" s="22" t="s">
        <v>268</v>
      </c>
      <c r="C28" s="79" t="s">
        <v>269</v>
      </c>
      <c r="E28" s="259" t="s">
        <v>104</v>
      </c>
      <c r="G28" s="265"/>
      <c r="H28" s="266"/>
      <c r="I28" s="79" t="s">
        <v>270</v>
      </c>
      <c r="J28" s="79"/>
      <c r="K28" s="79"/>
      <c r="L28" s="79"/>
      <c r="O28" s="80" t="str">
        <f>C14</f>
        <v>Banco Santander S.A.</v>
      </c>
      <c r="Q28" s="255"/>
    </row>
    <row r="29" spans="1:17" ht="13">
      <c r="A29" s="225"/>
      <c r="B29" s="40" t="s">
        <v>271</v>
      </c>
      <c r="C29" s="281">
        <f>VLOOKUP("Swap_Notional_amount",calcdata,2,0)</f>
        <v>968607591.58329999</v>
      </c>
      <c r="E29" s="79" t="s">
        <v>728</v>
      </c>
      <c r="G29" s="282"/>
      <c r="H29" s="283"/>
      <c r="I29" s="79" t="s">
        <v>272</v>
      </c>
      <c r="J29" s="79"/>
      <c r="K29" s="79"/>
      <c r="L29" s="79"/>
      <c r="O29" s="80" t="str">
        <f>C14</f>
        <v>Banco Santander S.A.</v>
      </c>
      <c r="Q29" s="255"/>
    </row>
    <row r="30" spans="1:17">
      <c r="A30" s="225"/>
      <c r="B30" s="40" t="s">
        <v>273</v>
      </c>
      <c r="C30" s="852">
        <f>VLOOKUP("Fixed_Rate",calcdata,2,0)</f>
        <v>2.1617000000000001E-2</v>
      </c>
      <c r="E30" s="79" t="s">
        <v>729</v>
      </c>
      <c r="Q30" s="255"/>
    </row>
    <row r="31" spans="1:17">
      <c r="A31" s="225"/>
      <c r="B31" s="40" t="s">
        <v>274</v>
      </c>
      <c r="C31" s="852">
        <f>VLOOKUP("Floating_Rate",calcdata,2,0)</f>
        <v>1.8919999999999999E-2</v>
      </c>
      <c r="E31" s="79" t="s">
        <v>730</v>
      </c>
      <c r="Q31" s="255"/>
    </row>
    <row r="32" spans="1:17">
      <c r="A32" s="225"/>
      <c r="B32" s="40" t="s">
        <v>275</v>
      </c>
      <c r="C32" s="281">
        <f>VLOOKUP("Net_Swap_Payments",calcdata,2,0)</f>
        <v>203181.59</v>
      </c>
      <c r="E32" s="79" t="s">
        <v>731</v>
      </c>
      <c r="Q32" s="255"/>
    </row>
    <row r="33" spans="1:17">
      <c r="A33" s="225"/>
      <c r="B33" s="40" t="s">
        <v>276</v>
      </c>
      <c r="C33" s="853">
        <f>VLOOKUP("Swap_Notional_amount_next",calcdata,2,0)</f>
        <v>940772941.91670001</v>
      </c>
      <c r="E33" s="79" t="s">
        <v>732</v>
      </c>
      <c r="Q33" s="255"/>
    </row>
    <row r="34" spans="1:17">
      <c r="A34" s="225"/>
      <c r="B34" s="13"/>
      <c r="E34" s="22" t="s">
        <v>252</v>
      </c>
      <c r="Q34" s="255"/>
    </row>
    <row r="35" spans="1:17" ht="18">
      <c r="A35" s="225"/>
      <c r="B35" s="226" t="s">
        <v>277</v>
      </c>
      <c r="C35" s="284"/>
      <c r="Q35" s="255"/>
    </row>
    <row r="36" spans="1:17">
      <c r="A36" s="225"/>
      <c r="B36" s="22" t="s">
        <v>278</v>
      </c>
      <c r="C36" s="847">
        <v>0</v>
      </c>
      <c r="F36" s="62"/>
      <c r="G36" s="62"/>
      <c r="H36" s="62"/>
      <c r="I36" s="62"/>
      <c r="J36" s="62"/>
      <c r="K36" s="62"/>
      <c r="L36" s="62"/>
      <c r="M36" s="62"/>
      <c r="N36" s="62"/>
      <c r="O36" s="62"/>
      <c r="Q36" s="255"/>
    </row>
    <row r="37" spans="1:17">
      <c r="A37" s="225"/>
      <c r="B37" s="22" t="s">
        <v>80</v>
      </c>
      <c r="C37" s="847">
        <v>0</v>
      </c>
      <c r="Q37" s="255"/>
    </row>
    <row r="38" spans="1:17">
      <c r="A38" s="225"/>
      <c r="B38" s="22" t="s">
        <v>81</v>
      </c>
      <c r="C38" s="847">
        <v>0</v>
      </c>
      <c r="D38" s="12"/>
      <c r="E38" s="184"/>
      <c r="F38" s="12"/>
      <c r="G38" s="185"/>
      <c r="H38" s="186"/>
      <c r="I38" s="185"/>
      <c r="J38" s="185"/>
      <c r="K38" s="185"/>
      <c r="L38" s="185"/>
      <c r="M38" s="252"/>
      <c r="Q38" s="94"/>
    </row>
    <row r="39" spans="1:17">
      <c r="A39" s="225"/>
      <c r="B39" s="22" t="s">
        <v>14</v>
      </c>
      <c r="C39" s="847">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5"/>
      <c r="B41" s="842" t="str">
        <f>VLOOKUP("RatingDate",ratings,17,0)</f>
        <v>Ratings as of 30.06.2025, data source: Bloomberg</v>
      </c>
      <c r="C41" s="26"/>
      <c r="D41" s="910"/>
      <c r="E41" s="911"/>
      <c r="F41" s="911"/>
      <c r="G41" s="911"/>
      <c r="H41" s="911"/>
      <c r="I41" s="286"/>
      <c r="J41" s="286"/>
      <c r="K41" s="286"/>
      <c r="L41" s="286"/>
      <c r="M41" s="287"/>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88"/>
      <c r="F71" s="289"/>
      <c r="G71" s="219"/>
      <c r="H71" s="290"/>
      <c r="I71" s="219"/>
      <c r="J71" s="219"/>
      <c r="K71" s="219"/>
      <c r="L71" s="219"/>
      <c r="M71" s="252"/>
    </row>
    <row r="72" spans="2:13">
      <c r="B72" s="13"/>
      <c r="C72" s="13"/>
      <c r="D72" s="12"/>
      <c r="E72" s="288"/>
      <c r="F72" s="288"/>
      <c r="G72" s="288"/>
      <c r="H72" s="288"/>
      <c r="I72" s="288"/>
      <c r="J72" s="288"/>
      <c r="K72" s="288"/>
      <c r="L72" s="288"/>
      <c r="M72" s="252"/>
    </row>
    <row r="73" spans="2:13">
      <c r="B73" s="13"/>
      <c r="C73" s="13"/>
      <c r="D73" s="12"/>
      <c r="E73" s="288"/>
      <c r="F73" s="288"/>
      <c r="G73" s="288"/>
      <c r="H73" s="288"/>
      <c r="I73" s="288"/>
      <c r="J73" s="288"/>
      <c r="K73" s="288"/>
      <c r="L73" s="288"/>
      <c r="M73" s="252"/>
    </row>
    <row r="74" spans="2:13">
      <c r="B74" s="13"/>
      <c r="C74" s="13"/>
      <c r="D74" s="12"/>
      <c r="E74" s="191"/>
      <c r="F74" s="220"/>
      <c r="G74" s="288"/>
      <c r="H74" s="288"/>
      <c r="I74" s="288"/>
      <c r="J74" s="288"/>
      <c r="K74" s="288"/>
      <c r="L74" s="288"/>
      <c r="M74" s="252"/>
    </row>
    <row r="75" spans="2:13">
      <c r="B75" s="13"/>
      <c r="C75" s="13"/>
      <c r="D75" s="12"/>
      <c r="E75" s="289"/>
      <c r="F75" s="220"/>
      <c r="G75" s="288"/>
      <c r="H75" s="288"/>
      <c r="I75" s="288"/>
      <c r="J75" s="288"/>
      <c r="K75" s="288"/>
      <c r="L75" s="288"/>
      <c r="M75" s="252"/>
    </row>
    <row r="76" spans="2:13">
      <c r="B76" s="13"/>
      <c r="C76" s="13"/>
      <c r="D76" s="12"/>
      <c r="E76" s="288"/>
      <c r="F76" s="220"/>
      <c r="G76" s="288"/>
      <c r="H76" s="288"/>
      <c r="I76" s="288"/>
      <c r="J76" s="288"/>
      <c r="K76" s="288"/>
      <c r="L76" s="288"/>
      <c r="M76" s="252"/>
    </row>
    <row r="77" spans="2:13" ht="14">
      <c r="B77" s="13"/>
      <c r="C77" s="288"/>
      <c r="D77" s="289"/>
      <c r="E77" s="291"/>
      <c r="F77" s="291"/>
      <c r="G77" s="291"/>
      <c r="H77" s="291"/>
      <c r="I77" s="291"/>
      <c r="J77" s="291"/>
      <c r="K77" s="291"/>
      <c r="L77" s="291"/>
      <c r="M77" s="252"/>
    </row>
    <row r="78" spans="2:13" ht="14">
      <c r="B78" s="288"/>
      <c r="E78" s="291"/>
      <c r="F78" s="291"/>
      <c r="G78" s="291"/>
      <c r="H78" s="291"/>
      <c r="I78" s="291"/>
      <c r="J78" s="291"/>
      <c r="K78" s="291"/>
      <c r="L78" s="291"/>
      <c r="M78" s="252"/>
    </row>
    <row r="79" spans="2:13" ht="14">
      <c r="E79" s="194"/>
      <c r="F79" s="221"/>
      <c r="G79" s="291"/>
      <c r="H79" s="291"/>
      <c r="I79" s="291"/>
      <c r="J79" s="291"/>
      <c r="K79" s="291"/>
      <c r="L79" s="291"/>
      <c r="M79" s="252"/>
    </row>
    <row r="80" spans="2:13" ht="14">
      <c r="C80" s="191"/>
      <c r="D80" s="220"/>
      <c r="E80" s="292"/>
      <c r="F80" s="221"/>
      <c r="G80" s="291"/>
      <c r="H80" s="291"/>
      <c r="I80" s="291"/>
      <c r="J80" s="291"/>
      <c r="K80" s="291"/>
      <c r="L80" s="291"/>
      <c r="M80" s="252"/>
    </row>
    <row r="81" spans="2:13" ht="14">
      <c r="B81" s="191"/>
      <c r="C81" s="293"/>
      <c r="D81" s="220"/>
      <c r="E81" s="291"/>
      <c r="F81" s="221"/>
      <c r="G81" s="291"/>
      <c r="H81" s="291"/>
      <c r="I81" s="291"/>
      <c r="J81" s="291"/>
      <c r="K81" s="291"/>
      <c r="L81" s="291"/>
      <c r="M81" s="252"/>
    </row>
    <row r="82" spans="2:13">
      <c r="B82" s="293"/>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8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2024-2</v>
      </c>
      <c r="C2" s="42"/>
      <c r="E2" s="920" t="str">
        <f>'Cover Sheet'!D2</f>
        <v>Calculation Date</v>
      </c>
      <c r="F2" s="921"/>
      <c r="G2" s="116"/>
      <c r="H2" s="117">
        <f>'Cover Sheet'!F2</f>
        <v>45848</v>
      </c>
      <c r="I2" s="155"/>
      <c r="J2" s="116"/>
      <c r="K2" s="116"/>
      <c r="L2" s="116"/>
      <c r="M2" s="116"/>
      <c r="N2" s="118"/>
      <c r="O2" s="119"/>
    </row>
    <row r="3" spans="1:17" ht="18">
      <c r="A3" s="114"/>
      <c r="B3" s="42" t="str">
        <f>'Cover Sheet'!B3</f>
        <v>Monthly Investor Report</v>
      </c>
      <c r="C3" s="42"/>
      <c r="E3" s="922" t="s">
        <v>2</v>
      </c>
      <c r="F3" s="923"/>
      <c r="G3" s="123"/>
      <c r="H3" s="123">
        <f>'Cover Sheet'!F3</f>
        <v>45852</v>
      </c>
      <c r="I3" s="156"/>
      <c r="J3" s="122"/>
      <c r="K3" s="122"/>
      <c r="L3" s="122"/>
      <c r="M3" s="122"/>
      <c r="N3" s="124"/>
      <c r="O3" s="119"/>
    </row>
    <row r="4" spans="1:17">
      <c r="A4" s="114"/>
      <c r="B4" s="120"/>
      <c r="C4" s="99"/>
      <c r="E4" s="922" t="s">
        <v>3</v>
      </c>
      <c r="F4" s="923"/>
      <c r="G4" s="126"/>
      <c r="H4" s="126">
        <f>'Cover Sheet'!F4</f>
        <v>8</v>
      </c>
      <c r="I4" s="157"/>
      <c r="J4" s="127"/>
      <c r="K4" s="122"/>
      <c r="L4" s="122"/>
      <c r="M4" s="122"/>
      <c r="N4" s="128"/>
      <c r="O4" s="119"/>
    </row>
    <row r="5" spans="1:17" ht="18">
      <c r="A5" s="114"/>
      <c r="B5" s="129" t="s">
        <v>357</v>
      </c>
      <c r="C5" s="129"/>
      <c r="E5" s="922" t="s">
        <v>1</v>
      </c>
      <c r="F5" s="924"/>
      <c r="G5" s="158"/>
      <c r="H5" s="130">
        <f>'Cover Sheet'!F5</f>
        <v>45852</v>
      </c>
      <c r="I5" s="122"/>
      <c r="J5" s="127"/>
      <c r="K5" s="122"/>
      <c r="L5" s="122"/>
      <c r="M5" s="122"/>
      <c r="N5" s="128"/>
      <c r="O5" s="119"/>
    </row>
    <row r="6" spans="1:17" ht="15" customHeight="1">
      <c r="A6" s="114"/>
      <c r="B6" s="131"/>
      <c r="C6" s="120"/>
      <c r="E6" s="916" t="s">
        <v>51</v>
      </c>
      <c r="F6" s="917"/>
      <c r="G6" s="123" t="s">
        <v>34</v>
      </c>
      <c r="H6" s="123">
        <f>'Cover Sheet'!F6</f>
        <v>45824</v>
      </c>
      <c r="I6" s="123" t="s">
        <v>4</v>
      </c>
      <c r="J6" s="123">
        <f>'Cover Sheet'!$H$6</f>
        <v>45852</v>
      </c>
      <c r="K6" s="123" t="s">
        <v>15</v>
      </c>
      <c r="L6" s="123"/>
      <c r="M6" s="123"/>
      <c r="N6" s="159" t="str">
        <f>'Cover Sheet'!$J$6</f>
        <v>28 days</v>
      </c>
      <c r="O6" s="160"/>
    </row>
    <row r="7" spans="1:17" ht="13">
      <c r="A7" s="114"/>
      <c r="D7" s="99"/>
      <c r="E7" s="918" t="s">
        <v>111</v>
      </c>
      <c r="F7" s="919"/>
      <c r="G7" s="138" t="s">
        <v>34</v>
      </c>
      <c r="H7" s="138" t="str">
        <f>'Cover Sheet'!F7</f>
        <v>01.06.2025</v>
      </c>
      <c r="I7" s="138" t="s">
        <v>4</v>
      </c>
      <c r="J7" s="138">
        <f>'Cover Sheet'!H7</f>
        <v>45838</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17" t="s">
        <v>719</v>
      </c>
      <c r="C14"/>
      <c r="D14" s="201"/>
      <c r="E14" s="202"/>
      <c r="F14" s="203"/>
      <c r="G14" s="203"/>
      <c r="H14" s="203"/>
      <c r="I14" s="203"/>
      <c r="J14" s="203"/>
      <c r="K14" s="204"/>
      <c r="L14" s="204"/>
      <c r="M14" s="204"/>
      <c r="N14" s="168"/>
      <c r="O14" s="119"/>
      <c r="Q14" s="111"/>
    </row>
    <row r="15" spans="1:17" ht="14.5">
      <c r="A15" s="114"/>
      <c r="B15" s="818" t="s">
        <v>720</v>
      </c>
      <c r="C15" s="819" t="s">
        <v>721</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894" t="s">
        <v>791</v>
      </c>
      <c r="E25" s="895"/>
      <c r="F25" s="896"/>
      <c r="G25" s="894" t="s">
        <v>523</v>
      </c>
      <c r="H25" s="895"/>
      <c r="I25" s="896"/>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14"/>
      <c r="C27" s="915"/>
      <c r="D27" s="15"/>
      <c r="E27" s="15"/>
      <c r="F27" s="15"/>
      <c r="G27" s="15"/>
      <c r="H27" s="15"/>
      <c r="I27" s="15"/>
      <c r="L27" s="111"/>
      <c r="O27" s="119"/>
    </row>
    <row r="28" spans="1:17" ht="13">
      <c r="A28" s="114"/>
      <c r="B28" s="912" t="s">
        <v>104</v>
      </c>
      <c r="C28" s="913"/>
      <c r="D28" s="855" t="str">
        <f>IF(VLOOKUP(B28,ratings,7,FALSE)="-",VLOOKUP(B28,ratings,8,FALSE),VLOOKUP(B28,ratings,7,FALSE))</f>
        <v>A</v>
      </c>
      <c r="E28" s="855" t="str">
        <f>IF(VLOOKUP(B28,ratings,9,FALSE)="-",VLOOKUP(B28,ratings,10,FALSE),VLOOKUP(B28,ratings,9,FALSE))</f>
        <v>F1</v>
      </c>
      <c r="F28" s="855" t="str">
        <f>VLOOKUP($B$28,ratings,11,FALSE)</f>
        <v>STABLE</v>
      </c>
      <c r="G28" s="855" t="str">
        <f>IF(VLOOKUP(B28,ratings,13,FALSE)="-",VLOOKUP(B28,ratings,14,FALSE),VLOOKUP(B28,ratings,13,FALSE))</f>
        <v>AH</v>
      </c>
      <c r="H28" s="855" t="str">
        <f>VLOOKUP($B$28,ratings,15,FALSE)</f>
        <v>R-1M</v>
      </c>
      <c r="I28" s="855" t="str">
        <f>VLOOKUP($B$28,ratings,16,FALSE)</f>
        <v>STABLE</v>
      </c>
      <c r="J28" s="81"/>
      <c r="K28" s="81"/>
      <c r="L28" s="111"/>
      <c r="O28" s="119"/>
    </row>
    <row r="29" spans="1:17" ht="12.75" customHeight="1">
      <c r="A29" s="114"/>
      <c r="B29" s="16"/>
      <c r="C29" s="17"/>
      <c r="D29" s="856"/>
      <c r="E29" s="856"/>
      <c r="F29" s="856"/>
      <c r="G29" s="856"/>
      <c r="H29" s="856"/>
      <c r="I29" s="856"/>
      <c r="O29" s="119"/>
    </row>
    <row r="30" spans="1:17" ht="13">
      <c r="A30" s="114"/>
      <c r="B30" s="912" t="s">
        <v>110</v>
      </c>
      <c r="C30" s="913"/>
      <c r="D30" s="855" t="str">
        <f>IF(VLOOKUP(B30,ratings,7,FALSE)="-",VLOOKUP(B30,ratings,8,FALSE),VLOOKUP(B30,ratings,7,FALSE))</f>
        <v>A+</v>
      </c>
      <c r="E30" s="855" t="str">
        <f>IF(VLOOKUP(B30,ratings,9,FALSE)="-",VLOOKUP(B30,ratings,10,FALSE),VLOOKUP(B30,ratings,9,FALSE))</f>
        <v>F1</v>
      </c>
      <c r="F30" s="855" t="str">
        <f>VLOOKUP($B$30,ratings,11,FALSE)</f>
        <v>STABLE</v>
      </c>
      <c r="G30" s="855" t="str">
        <f>IF(VLOOKUP(B30,ratings,13,FALSE)="-",VLOOKUP(B30,ratings,14,FALSE),VLOOKUP(B30,ratings,13,FALSE))</f>
        <v>-</v>
      </c>
      <c r="H30" s="855" t="str">
        <f>VLOOKUP($B$30,ratings,15,FALSE)</f>
        <v>-</v>
      </c>
      <c r="I30" s="855" t="str">
        <f>VLOOKUP($B$30,ratings,16,FALSE)</f>
        <v>-</v>
      </c>
      <c r="J30" s="81"/>
      <c r="K30" s="81"/>
      <c r="O30" s="119"/>
    </row>
    <row r="31" spans="1:17" ht="13">
      <c r="A31" s="114"/>
      <c r="B31" s="217"/>
      <c r="C31" s="217"/>
      <c r="D31" s="855"/>
      <c r="E31" s="855"/>
      <c r="F31" s="855"/>
      <c r="G31" s="855"/>
      <c r="H31" s="855"/>
      <c r="I31" s="855"/>
      <c r="J31" s="81"/>
      <c r="K31" s="81"/>
      <c r="O31" s="119"/>
    </row>
    <row r="32" spans="1:17" ht="13">
      <c r="A32" s="114"/>
      <c r="B32" s="912" t="s">
        <v>194</v>
      </c>
      <c r="C32" s="913"/>
      <c r="D32" s="855" t="str">
        <f>IF(VLOOKUP(B32,ratings,7,FALSE)="-",VLOOKUP(B32,ratings,8,FALSE),VLOOKUP(B32,ratings,7,FALSE))</f>
        <v>A</v>
      </c>
      <c r="E32" s="855" t="str">
        <f>IF(VLOOKUP(B32,ratings,9,FALSE)="-",VLOOKUP(B32,ratings,10,FALSE),VLOOKUP(B32,ratings,9,FALSE))</f>
        <v>F1</v>
      </c>
      <c r="F32" s="855" t="str">
        <f>VLOOKUP($B$32,ratings,11,FALSE)</f>
        <v>STABLE</v>
      </c>
      <c r="G32" s="855" t="str">
        <f>IF(VLOOKUP(B32,ratings,13,FALSE)="-",VLOOKUP(B32,ratings,14,FALSE),VLOOKUP(B32,ratings,13,FALSE))</f>
        <v>-</v>
      </c>
      <c r="H32" s="855" t="str">
        <f>VLOOKUP($B$32,ratings,15,FALSE)</f>
        <v>-</v>
      </c>
      <c r="I32" s="855"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30.06.2025,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sheetData>
  <mergeCells count="12">
    <mergeCell ref="E6:F6"/>
    <mergeCell ref="E7:F7"/>
    <mergeCell ref="E2:F2"/>
    <mergeCell ref="E3:F3"/>
    <mergeCell ref="E4:F4"/>
    <mergeCell ref="E5:F5"/>
    <mergeCell ref="G25:I25"/>
    <mergeCell ref="B32:C32"/>
    <mergeCell ref="B30:C30"/>
    <mergeCell ref="B28:C28"/>
    <mergeCell ref="D25:F25"/>
    <mergeCell ref="B27:C27"/>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9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2024-2</v>
      </c>
      <c r="C2" s="42"/>
      <c r="E2" s="925" t="str">
        <f>'Cover Sheet'!D2</f>
        <v>Calculation Date</v>
      </c>
      <c r="F2" s="921"/>
      <c r="G2" s="116"/>
      <c r="H2" s="117">
        <f>'Cover Sheet'!F2</f>
        <v>45848</v>
      </c>
      <c r="I2" s="155"/>
      <c r="J2" s="116"/>
      <c r="K2" s="116"/>
      <c r="L2" s="118"/>
      <c r="M2" s="9"/>
      <c r="N2" s="119"/>
    </row>
    <row r="3" spans="1:16" ht="18">
      <c r="A3" s="114"/>
      <c r="B3" s="42" t="str">
        <f>'Cover Sheet'!B3</f>
        <v>Monthly Investor Report</v>
      </c>
      <c r="C3" s="42"/>
      <c r="E3" s="926" t="s">
        <v>2</v>
      </c>
      <c r="F3" s="927"/>
      <c r="G3" s="123"/>
      <c r="H3" s="123">
        <f>'Cover Sheet'!F3</f>
        <v>45852</v>
      </c>
      <c r="I3" s="156"/>
      <c r="J3" s="122"/>
      <c r="K3" s="122"/>
      <c r="L3" s="124"/>
      <c r="M3" s="9"/>
      <c r="N3" s="119"/>
    </row>
    <row r="4" spans="1:16" ht="15.5">
      <c r="A4" s="114"/>
      <c r="B4" s="120"/>
      <c r="C4" s="99"/>
      <c r="E4" s="926" t="s">
        <v>3</v>
      </c>
      <c r="F4" s="927"/>
      <c r="G4" s="126"/>
      <c r="H4" s="126">
        <f>'Cover Sheet'!F4</f>
        <v>8</v>
      </c>
      <c r="I4" s="157"/>
      <c r="J4" s="127"/>
      <c r="K4" s="122"/>
      <c r="L4" s="128"/>
      <c r="M4" s="9"/>
      <c r="N4" s="119"/>
    </row>
    <row r="5" spans="1:16" ht="18">
      <c r="A5" s="114"/>
      <c r="B5" s="129" t="s">
        <v>358</v>
      </c>
      <c r="C5" s="129"/>
      <c r="E5" s="926" t="s">
        <v>1</v>
      </c>
      <c r="F5" s="928"/>
      <c r="G5" s="158"/>
      <c r="H5" s="130">
        <f>'Cover Sheet'!F5</f>
        <v>45852</v>
      </c>
      <c r="I5" s="122"/>
      <c r="J5" s="127"/>
      <c r="K5" s="122"/>
      <c r="L5" s="128"/>
      <c r="M5" s="9"/>
      <c r="N5" s="119"/>
    </row>
    <row r="6" spans="1:16" ht="15" customHeight="1">
      <c r="A6" s="114"/>
      <c r="B6" s="131"/>
      <c r="C6" s="120"/>
      <c r="E6" s="916" t="s">
        <v>51</v>
      </c>
      <c r="F6" s="917"/>
      <c r="G6" s="123" t="s">
        <v>34</v>
      </c>
      <c r="H6" s="123">
        <f>'Cover Sheet'!F6</f>
        <v>45824</v>
      </c>
      <c r="I6" s="123" t="s">
        <v>4</v>
      </c>
      <c r="J6" s="123">
        <f>'Cover Sheet'!$H$6</f>
        <v>45852</v>
      </c>
      <c r="K6" s="123" t="s">
        <v>15</v>
      </c>
      <c r="L6" s="159" t="str">
        <f>'Cover Sheet'!$J$6</f>
        <v>28 days</v>
      </c>
      <c r="M6" s="9"/>
      <c r="N6" s="160"/>
    </row>
    <row r="7" spans="1:16" ht="15.5">
      <c r="A7" s="114"/>
      <c r="D7" s="99"/>
      <c r="E7" s="918" t="s">
        <v>111</v>
      </c>
      <c r="F7" s="919"/>
      <c r="G7" s="138" t="s">
        <v>34</v>
      </c>
      <c r="H7" s="138" t="str">
        <f>'Cover Sheet'!F7</f>
        <v>01.06.2025</v>
      </c>
      <c r="I7" s="138" t="s">
        <v>4</v>
      </c>
      <c r="J7" s="138">
        <f>'Cover Sheet'!H7</f>
        <v>45838</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804</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805</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806</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807</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808</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3"/>
  <sheetViews>
    <sheetView workbookViewId="0"/>
  </sheetViews>
  <sheetFormatPr baseColWidth="10" defaultColWidth="8.7265625" defaultRowHeight="12.5"/>
  <cols>
    <col min="1" max="1" width="13" customWidth="1"/>
    <col min="2" max="2" width="41" customWidth="1"/>
    <col min="3" max="4" width="13" customWidth="1"/>
  </cols>
  <sheetData>
    <row r="1" spans="1:4">
      <c r="A1" t="s">
        <v>814</v>
      </c>
      <c r="B1" t="s">
        <v>815</v>
      </c>
      <c r="C1" t="s">
        <v>816</v>
      </c>
      <c r="D1" t="s">
        <v>817</v>
      </c>
    </row>
    <row r="2" spans="1:4">
      <c r="A2" t="s">
        <v>818</v>
      </c>
      <c r="B2" t="s">
        <v>819</v>
      </c>
      <c r="C2">
        <v>3957</v>
      </c>
      <c r="D2">
        <v>4007312.180000003</v>
      </c>
    </row>
    <row r="3" spans="1:4">
      <c r="A3" t="s">
        <v>818</v>
      </c>
      <c r="B3" t="s">
        <v>820</v>
      </c>
      <c r="C3">
        <v>4303</v>
      </c>
      <c r="D3">
        <v>12922022.339999994</v>
      </c>
    </row>
    <row r="4" spans="1:4">
      <c r="A4" t="s">
        <v>818</v>
      </c>
      <c r="B4" t="s">
        <v>821</v>
      </c>
      <c r="C4">
        <v>4791</v>
      </c>
      <c r="D4">
        <v>23753946.420000006</v>
      </c>
    </row>
    <row r="5" spans="1:4">
      <c r="A5" t="s">
        <v>818</v>
      </c>
      <c r="B5" t="s">
        <v>822</v>
      </c>
      <c r="C5">
        <v>4141</v>
      </c>
      <c r="D5">
        <v>29005789.639999967</v>
      </c>
    </row>
    <row r="6" spans="1:4">
      <c r="A6" t="s">
        <v>818</v>
      </c>
      <c r="B6" t="s">
        <v>823</v>
      </c>
      <c r="C6">
        <v>4236</v>
      </c>
      <c r="D6">
        <v>38231753.939999931</v>
      </c>
    </row>
    <row r="7" spans="1:4">
      <c r="A7" t="s">
        <v>818</v>
      </c>
      <c r="B7" t="s">
        <v>824</v>
      </c>
      <c r="C7">
        <v>2697</v>
      </c>
      <c r="D7">
        <v>29655435.16</v>
      </c>
    </row>
    <row r="8" spans="1:4">
      <c r="A8" t="s">
        <v>818</v>
      </c>
      <c r="B8" t="s">
        <v>825</v>
      </c>
      <c r="C8">
        <v>2535</v>
      </c>
      <c r="D8">
        <v>33046532.67000002</v>
      </c>
    </row>
    <row r="9" spans="1:4">
      <c r="A9" t="s">
        <v>818</v>
      </c>
      <c r="B9" t="s">
        <v>826</v>
      </c>
      <c r="C9">
        <v>2158</v>
      </c>
      <c r="D9">
        <v>32207167.600000001</v>
      </c>
    </row>
    <row r="10" spans="1:4">
      <c r="A10" t="s">
        <v>818</v>
      </c>
      <c r="B10" t="s">
        <v>827</v>
      </c>
      <c r="C10">
        <v>2011</v>
      </c>
      <c r="D10">
        <v>34191931.399999976</v>
      </c>
    </row>
    <row r="11" spans="1:4">
      <c r="A11" t="s">
        <v>818</v>
      </c>
      <c r="B11" t="s">
        <v>828</v>
      </c>
      <c r="C11">
        <v>2139</v>
      </c>
      <c r="D11">
        <v>40499570.430000059</v>
      </c>
    </row>
    <row r="12" spans="1:4">
      <c r="A12" t="s">
        <v>818</v>
      </c>
      <c r="B12" t="s">
        <v>829</v>
      </c>
      <c r="C12">
        <v>1523</v>
      </c>
      <c r="D12">
        <v>31999561.429999966</v>
      </c>
    </row>
    <row r="13" spans="1:4">
      <c r="A13" t="s">
        <v>818</v>
      </c>
      <c r="B13" t="s">
        <v>830</v>
      </c>
      <c r="C13">
        <v>1751</v>
      </c>
      <c r="D13">
        <v>40236662.160000019</v>
      </c>
    </row>
    <row r="14" spans="1:4">
      <c r="A14" t="s">
        <v>818</v>
      </c>
      <c r="B14" t="s">
        <v>831</v>
      </c>
      <c r="C14">
        <v>1375</v>
      </c>
      <c r="D14">
        <v>34314043.31000001</v>
      </c>
    </row>
    <row r="15" spans="1:4">
      <c r="A15" t="s">
        <v>818</v>
      </c>
      <c r="B15" t="s">
        <v>832</v>
      </c>
      <c r="C15">
        <v>1314</v>
      </c>
      <c r="D15">
        <v>35532454.189999983</v>
      </c>
    </row>
    <row r="16" spans="1:4">
      <c r="A16" t="s">
        <v>818</v>
      </c>
      <c r="B16" t="s">
        <v>833</v>
      </c>
      <c r="C16">
        <v>1277</v>
      </c>
      <c r="D16">
        <v>37018215.029999949</v>
      </c>
    </row>
    <row r="17" spans="1:4">
      <c r="A17" t="s">
        <v>818</v>
      </c>
      <c r="B17" t="s">
        <v>834</v>
      </c>
      <c r="C17">
        <v>1055</v>
      </c>
      <c r="D17">
        <v>32714268.050000038</v>
      </c>
    </row>
    <row r="18" spans="1:4">
      <c r="A18" t="s">
        <v>818</v>
      </c>
      <c r="B18" t="s">
        <v>835</v>
      </c>
      <c r="C18">
        <v>1027</v>
      </c>
      <c r="D18">
        <v>33843358.479999945</v>
      </c>
    </row>
    <row r="19" spans="1:4">
      <c r="A19" t="s">
        <v>818</v>
      </c>
      <c r="B19" t="s">
        <v>836</v>
      </c>
      <c r="C19">
        <v>937</v>
      </c>
      <c r="D19">
        <v>32772828.909999974</v>
      </c>
    </row>
    <row r="20" spans="1:4">
      <c r="A20" t="s">
        <v>818</v>
      </c>
      <c r="B20" t="s">
        <v>837</v>
      </c>
      <c r="C20">
        <v>869</v>
      </c>
      <c r="D20">
        <v>32133182.639999986</v>
      </c>
    </row>
    <row r="21" spans="1:4">
      <c r="A21" t="s">
        <v>818</v>
      </c>
      <c r="B21" t="s">
        <v>838</v>
      </c>
      <c r="C21">
        <v>767</v>
      </c>
      <c r="D21">
        <v>29911580.240000021</v>
      </c>
    </row>
    <row r="22" spans="1:4">
      <c r="A22" t="s">
        <v>818</v>
      </c>
      <c r="B22" t="s">
        <v>839</v>
      </c>
      <c r="C22">
        <v>698</v>
      </c>
      <c r="D22">
        <v>28633312.900000006</v>
      </c>
    </row>
    <row r="23" spans="1:4">
      <c r="A23" t="s">
        <v>818</v>
      </c>
      <c r="B23" t="s">
        <v>840</v>
      </c>
      <c r="C23">
        <v>603</v>
      </c>
      <c r="D23">
        <v>25929874.800000008</v>
      </c>
    </row>
    <row r="24" spans="1:4">
      <c r="A24" t="s">
        <v>818</v>
      </c>
      <c r="B24" t="s">
        <v>841</v>
      </c>
      <c r="C24">
        <v>604</v>
      </c>
      <c r="D24">
        <v>27175135.019999988</v>
      </c>
    </row>
    <row r="25" spans="1:4">
      <c r="A25" t="s">
        <v>818</v>
      </c>
      <c r="B25" t="s">
        <v>842</v>
      </c>
      <c r="C25">
        <v>600</v>
      </c>
      <c r="D25">
        <v>28177653.82000003</v>
      </c>
    </row>
    <row r="26" spans="1:4">
      <c r="A26" t="s">
        <v>818</v>
      </c>
      <c r="B26" t="s">
        <v>843</v>
      </c>
      <c r="C26">
        <v>457</v>
      </c>
      <c r="D26">
        <v>22378174.369999997</v>
      </c>
    </row>
    <row r="27" spans="1:4">
      <c r="A27" t="s">
        <v>818</v>
      </c>
      <c r="B27" t="s">
        <v>844</v>
      </c>
      <c r="C27">
        <v>372</v>
      </c>
      <c r="D27">
        <v>18983531.130000003</v>
      </c>
    </row>
    <row r="28" spans="1:4">
      <c r="A28" t="s">
        <v>818</v>
      </c>
      <c r="B28" t="s">
        <v>845</v>
      </c>
      <c r="C28">
        <v>349</v>
      </c>
      <c r="D28">
        <v>18476047.059999991</v>
      </c>
    </row>
    <row r="29" spans="1:4">
      <c r="A29" t="s">
        <v>818</v>
      </c>
      <c r="B29" t="s">
        <v>846</v>
      </c>
      <c r="C29">
        <v>340</v>
      </c>
      <c r="D29">
        <v>18702374.619999997</v>
      </c>
    </row>
    <row r="30" spans="1:4">
      <c r="A30" t="s">
        <v>818</v>
      </c>
      <c r="B30" t="s">
        <v>847</v>
      </c>
      <c r="C30">
        <v>248</v>
      </c>
      <c r="D30">
        <v>14127455.309999995</v>
      </c>
    </row>
    <row r="31" spans="1:4">
      <c r="A31" t="s">
        <v>818</v>
      </c>
      <c r="B31" t="s">
        <v>848</v>
      </c>
      <c r="C31">
        <v>234</v>
      </c>
      <c r="D31">
        <v>13808007.330000006</v>
      </c>
    </row>
    <row r="32" spans="1:4">
      <c r="A32" t="s">
        <v>818</v>
      </c>
      <c r="B32" t="s">
        <v>849</v>
      </c>
      <c r="C32">
        <v>180</v>
      </c>
      <c r="D32">
        <v>10966355.940000003</v>
      </c>
    </row>
    <row r="33" spans="1:4">
      <c r="A33" t="s">
        <v>818</v>
      </c>
      <c r="B33" t="s">
        <v>850</v>
      </c>
      <c r="C33">
        <v>210</v>
      </c>
      <c r="D33">
        <v>13232895.439999992</v>
      </c>
    </row>
    <row r="34" spans="1:4">
      <c r="A34" t="s">
        <v>818</v>
      </c>
      <c r="B34" t="s">
        <v>851</v>
      </c>
      <c r="C34">
        <v>173</v>
      </c>
      <c r="D34">
        <v>11256318.210000001</v>
      </c>
    </row>
    <row r="35" spans="1:4">
      <c r="A35" t="s">
        <v>818</v>
      </c>
      <c r="B35" t="s">
        <v>852</v>
      </c>
      <c r="C35">
        <v>191</v>
      </c>
      <c r="D35">
        <v>12803770.810000008</v>
      </c>
    </row>
    <row r="36" spans="1:4">
      <c r="A36" t="s">
        <v>818</v>
      </c>
      <c r="B36" t="s">
        <v>853</v>
      </c>
      <c r="C36">
        <v>181</v>
      </c>
      <c r="D36">
        <v>12490575.879999999</v>
      </c>
    </row>
    <row r="37" spans="1:4">
      <c r="A37" t="s">
        <v>818</v>
      </c>
      <c r="B37" t="s">
        <v>854</v>
      </c>
      <c r="C37">
        <v>175</v>
      </c>
      <c r="D37">
        <v>12409002.490000008</v>
      </c>
    </row>
    <row r="38" spans="1:4">
      <c r="A38" t="s">
        <v>818</v>
      </c>
      <c r="B38" t="s">
        <v>855</v>
      </c>
      <c r="C38">
        <v>121</v>
      </c>
      <c r="D38">
        <v>8828982.5099999979</v>
      </c>
    </row>
    <row r="39" spans="1:4">
      <c r="A39" t="s">
        <v>818</v>
      </c>
      <c r="B39" t="s">
        <v>856</v>
      </c>
      <c r="C39">
        <v>108</v>
      </c>
      <c r="D39">
        <v>8097627.7700000042</v>
      </c>
    </row>
    <row r="40" spans="1:4">
      <c r="A40" t="s">
        <v>818</v>
      </c>
      <c r="B40" t="s">
        <v>857</v>
      </c>
      <c r="C40">
        <v>84</v>
      </c>
      <c r="D40">
        <v>6460230.5899999989</v>
      </c>
    </row>
    <row r="41" spans="1:4">
      <c r="A41" t="s">
        <v>818</v>
      </c>
      <c r="B41" t="s">
        <v>858</v>
      </c>
      <c r="C41">
        <v>84</v>
      </c>
      <c r="D41">
        <v>6626414.7300000004</v>
      </c>
    </row>
    <row r="42" spans="1:4">
      <c r="A42" t="s">
        <v>818</v>
      </c>
      <c r="B42" t="s">
        <v>859</v>
      </c>
      <c r="C42">
        <v>79</v>
      </c>
      <c r="D42">
        <v>6544910.4399999985</v>
      </c>
    </row>
    <row r="43" spans="1:4">
      <c r="A43" t="s">
        <v>818</v>
      </c>
      <c r="B43" t="s">
        <v>860</v>
      </c>
      <c r="D43">
        <v>61</v>
      </c>
    </row>
    <row r="44" spans="1:4">
      <c r="A44" t="s">
        <v>818</v>
      </c>
      <c r="B44" t="s">
        <v>861</v>
      </c>
      <c r="C44">
        <v>25</v>
      </c>
      <c r="D44">
        <v>98239.67</v>
      </c>
    </row>
    <row r="45" spans="1:4">
      <c r="A45" t="s">
        <v>818</v>
      </c>
      <c r="B45" t="s">
        <v>862</v>
      </c>
      <c r="C45">
        <v>15</v>
      </c>
      <c r="D45">
        <v>169919.51999999996</v>
      </c>
    </row>
    <row r="46" spans="1:4">
      <c r="A46" t="s">
        <v>818</v>
      </c>
      <c r="B46" t="s">
        <v>863</v>
      </c>
      <c r="C46">
        <v>165</v>
      </c>
      <c r="D46">
        <v>2444305.5599999996</v>
      </c>
    </row>
    <row r="47" spans="1:4">
      <c r="A47" t="s">
        <v>818</v>
      </c>
      <c r="B47" t="s">
        <v>864</v>
      </c>
      <c r="C47">
        <v>126</v>
      </c>
      <c r="D47">
        <v>1877548.7599999993</v>
      </c>
    </row>
    <row r="48" spans="1:4">
      <c r="A48" t="s">
        <v>818</v>
      </c>
      <c r="B48" t="s">
        <v>865</v>
      </c>
      <c r="C48">
        <v>439</v>
      </c>
      <c r="D48">
        <v>8088629.0000000037</v>
      </c>
    </row>
    <row r="49" spans="1:4">
      <c r="A49" t="s">
        <v>818</v>
      </c>
      <c r="B49" t="s">
        <v>866</v>
      </c>
      <c r="C49">
        <v>1319</v>
      </c>
      <c r="D49">
        <v>32375475.570000011</v>
      </c>
    </row>
    <row r="50" spans="1:4">
      <c r="A50" t="s">
        <v>818</v>
      </c>
      <c r="B50" t="s">
        <v>867</v>
      </c>
      <c r="C50">
        <v>3343</v>
      </c>
      <c r="D50">
        <v>74610175.509999752</v>
      </c>
    </row>
    <row r="51" spans="1:4">
      <c r="A51" t="s">
        <v>818</v>
      </c>
      <c r="B51" t="s">
        <v>868</v>
      </c>
      <c r="C51">
        <v>6049</v>
      </c>
      <c r="D51">
        <v>160177043.57999942</v>
      </c>
    </row>
    <row r="52" spans="1:4">
      <c r="A52" t="s">
        <v>818</v>
      </c>
      <c r="B52" t="s">
        <v>869</v>
      </c>
      <c r="C52">
        <v>11505</v>
      </c>
      <c r="D52">
        <v>232127679.74999961</v>
      </c>
    </row>
    <row r="53" spans="1:4">
      <c r="A53" t="s">
        <v>818</v>
      </c>
      <c r="B53" t="s">
        <v>870</v>
      </c>
      <c r="C53">
        <v>13763</v>
      </c>
      <c r="D53">
        <v>242694556.20000023</v>
      </c>
    </row>
    <row r="54" spans="1:4">
      <c r="A54" t="s">
        <v>818</v>
      </c>
      <c r="B54" t="s">
        <v>871</v>
      </c>
      <c r="C54">
        <v>7083</v>
      </c>
      <c r="D54">
        <v>102087665.69000027</v>
      </c>
    </row>
    <row r="55" spans="1:4">
      <c r="A55" t="s">
        <v>818</v>
      </c>
      <c r="B55" t="s">
        <v>872</v>
      </c>
      <c r="C55">
        <v>4427</v>
      </c>
      <c r="D55">
        <v>60164032.850000016</v>
      </c>
    </row>
    <row r="56" spans="1:4">
      <c r="A56" t="s">
        <v>818</v>
      </c>
      <c r="B56" t="s">
        <v>873</v>
      </c>
      <c r="C56">
        <v>1614</v>
      </c>
      <c r="D56">
        <v>17908103.829999972</v>
      </c>
    </row>
    <row r="57" spans="1:4">
      <c r="A57" t="s">
        <v>818</v>
      </c>
      <c r="B57" t="s">
        <v>874</v>
      </c>
      <c r="C57">
        <v>1081</v>
      </c>
      <c r="D57">
        <v>9282891.9000000041</v>
      </c>
    </row>
    <row r="58" spans="1:4">
      <c r="A58" t="s">
        <v>818</v>
      </c>
      <c r="B58" t="s">
        <v>875</v>
      </c>
      <c r="D58">
        <v>50954</v>
      </c>
    </row>
    <row r="59" spans="1:4">
      <c r="A59" t="s">
        <v>818</v>
      </c>
      <c r="B59" t="s">
        <v>876</v>
      </c>
      <c r="D59">
        <v>52160</v>
      </c>
    </row>
    <row r="60" spans="1:4">
      <c r="A60" t="s">
        <v>818</v>
      </c>
      <c r="B60" t="s">
        <v>877</v>
      </c>
      <c r="C60">
        <v>1440</v>
      </c>
      <c r="D60">
        <v>1844936.7499999981</v>
      </c>
    </row>
    <row r="61" spans="1:4">
      <c r="A61" t="s">
        <v>818</v>
      </c>
      <c r="B61" t="s">
        <v>878</v>
      </c>
      <c r="C61">
        <v>3855</v>
      </c>
      <c r="D61">
        <v>11016413.860000081</v>
      </c>
    </row>
    <row r="62" spans="1:4">
      <c r="A62" t="s">
        <v>818</v>
      </c>
      <c r="B62" t="s">
        <v>879</v>
      </c>
      <c r="C62">
        <v>4652</v>
      </c>
      <c r="D62">
        <v>22888157.049999863</v>
      </c>
    </row>
    <row r="63" spans="1:4">
      <c r="A63" t="s">
        <v>818</v>
      </c>
      <c r="B63" t="s">
        <v>880</v>
      </c>
      <c r="C63">
        <v>4379</v>
      </c>
      <c r="D63">
        <v>30378489.959999721</v>
      </c>
    </row>
    <row r="64" spans="1:4">
      <c r="A64" t="s">
        <v>818</v>
      </c>
      <c r="B64" t="s">
        <v>881</v>
      </c>
      <c r="C64">
        <v>3156</v>
      </c>
      <c r="D64">
        <v>27969515.819999848</v>
      </c>
    </row>
    <row r="65" spans="1:4">
      <c r="A65" t="s">
        <v>818</v>
      </c>
      <c r="B65" t="s">
        <v>882</v>
      </c>
      <c r="C65">
        <v>3987</v>
      </c>
      <c r="D65">
        <v>42372202.739999697</v>
      </c>
    </row>
    <row r="66" spans="1:4">
      <c r="A66" t="s">
        <v>818</v>
      </c>
      <c r="B66" t="s">
        <v>883</v>
      </c>
      <c r="C66">
        <v>2530</v>
      </c>
      <c r="D66">
        <v>32480969.649999995</v>
      </c>
    </row>
    <row r="67" spans="1:4">
      <c r="A67" t="s">
        <v>818</v>
      </c>
      <c r="B67" t="s">
        <v>884</v>
      </c>
      <c r="C67">
        <v>2656</v>
      </c>
      <c r="D67">
        <v>40024239.219999686</v>
      </c>
    </row>
    <row r="68" spans="1:4">
      <c r="A68" t="s">
        <v>818</v>
      </c>
      <c r="B68" t="s">
        <v>885</v>
      </c>
      <c r="C68">
        <v>1811</v>
      </c>
      <c r="D68">
        <v>30804326.699999984</v>
      </c>
    </row>
    <row r="69" spans="1:4">
      <c r="A69" t="s">
        <v>818</v>
      </c>
      <c r="B69" t="s">
        <v>886</v>
      </c>
      <c r="C69">
        <v>1582</v>
      </c>
      <c r="D69">
        <v>29943505.670000028</v>
      </c>
    </row>
    <row r="70" spans="1:4">
      <c r="A70" t="s">
        <v>818</v>
      </c>
      <c r="B70" t="s">
        <v>887</v>
      </c>
      <c r="C70">
        <v>2307</v>
      </c>
      <c r="D70">
        <v>47761372.140000403</v>
      </c>
    </row>
    <row r="71" spans="1:4">
      <c r="A71" t="s">
        <v>818</v>
      </c>
      <c r="B71" t="s">
        <v>888</v>
      </c>
      <c r="C71">
        <v>1429</v>
      </c>
      <c r="D71">
        <v>32830311.17000005</v>
      </c>
    </row>
    <row r="72" spans="1:4">
      <c r="A72" t="s">
        <v>818</v>
      </c>
      <c r="B72" t="s">
        <v>889</v>
      </c>
      <c r="C72">
        <v>1674</v>
      </c>
      <c r="D72">
        <v>41692304.409999996</v>
      </c>
    </row>
    <row r="73" spans="1:4">
      <c r="A73" t="s">
        <v>818</v>
      </c>
      <c r="B73" t="s">
        <v>890</v>
      </c>
      <c r="C73">
        <v>1364</v>
      </c>
      <c r="D73">
        <v>36642251.869999811</v>
      </c>
    </row>
    <row r="74" spans="1:4">
      <c r="A74" t="s">
        <v>818</v>
      </c>
      <c r="B74" t="s">
        <v>891</v>
      </c>
      <c r="C74">
        <v>1102</v>
      </c>
      <c r="D74">
        <v>31870057.990000006</v>
      </c>
    </row>
    <row r="75" spans="1:4">
      <c r="A75" t="s">
        <v>818</v>
      </c>
      <c r="B75" t="s">
        <v>892</v>
      </c>
      <c r="C75">
        <v>1538</v>
      </c>
      <c r="D75">
        <v>47401169.269999787</v>
      </c>
    </row>
    <row r="76" spans="1:4">
      <c r="A76" t="s">
        <v>818</v>
      </c>
      <c r="B76" t="s">
        <v>893</v>
      </c>
      <c r="C76">
        <v>941</v>
      </c>
      <c r="D76">
        <v>31043734.280000065</v>
      </c>
    </row>
    <row r="77" spans="1:4">
      <c r="A77" t="s">
        <v>818</v>
      </c>
      <c r="B77" t="s">
        <v>894</v>
      </c>
      <c r="C77">
        <v>1060</v>
      </c>
      <c r="D77">
        <v>37078745.100000046</v>
      </c>
    </row>
    <row r="78" spans="1:4">
      <c r="A78" t="s">
        <v>818</v>
      </c>
      <c r="B78" t="s">
        <v>895</v>
      </c>
      <c r="C78">
        <v>882</v>
      </c>
      <c r="D78">
        <v>32554254.250000145</v>
      </c>
    </row>
    <row r="79" spans="1:4">
      <c r="A79" t="s">
        <v>818</v>
      </c>
      <c r="B79" t="s">
        <v>896</v>
      </c>
      <c r="C79">
        <v>805</v>
      </c>
      <c r="D79">
        <v>31364320.559999999</v>
      </c>
    </row>
    <row r="80" spans="1:4">
      <c r="A80" t="s">
        <v>818</v>
      </c>
      <c r="B80" t="s">
        <v>897</v>
      </c>
      <c r="C80">
        <v>845</v>
      </c>
      <c r="D80">
        <v>34438469.510000005</v>
      </c>
    </row>
    <row r="81" spans="1:4">
      <c r="A81" t="s">
        <v>818</v>
      </c>
      <c r="B81" t="s">
        <v>898</v>
      </c>
      <c r="C81">
        <v>726</v>
      </c>
      <c r="D81">
        <v>31072680.610000037</v>
      </c>
    </row>
    <row r="82" spans="1:4">
      <c r="A82" t="s">
        <v>818</v>
      </c>
      <c r="B82" t="s">
        <v>899</v>
      </c>
      <c r="C82">
        <v>640</v>
      </c>
      <c r="D82">
        <v>28769900.649999972</v>
      </c>
    </row>
    <row r="83" spans="1:4">
      <c r="A83" t="s">
        <v>818</v>
      </c>
      <c r="B83" t="s">
        <v>900</v>
      </c>
      <c r="C83">
        <v>579</v>
      </c>
      <c r="D83">
        <v>27212436.160000026</v>
      </c>
    </row>
    <row r="84" spans="1:4">
      <c r="A84" t="s">
        <v>818</v>
      </c>
      <c r="B84" t="s">
        <v>901</v>
      </c>
      <c r="C84">
        <v>451</v>
      </c>
      <c r="D84">
        <v>22055048.48999998</v>
      </c>
    </row>
    <row r="85" spans="1:4">
      <c r="A85" t="s">
        <v>818</v>
      </c>
      <c r="B85" t="s">
        <v>902</v>
      </c>
      <c r="C85">
        <v>658</v>
      </c>
      <c r="D85">
        <v>33270045.470000006</v>
      </c>
    </row>
    <row r="86" spans="1:4">
      <c r="A86" t="s">
        <v>818</v>
      </c>
      <c r="B86" t="s">
        <v>903</v>
      </c>
      <c r="C86">
        <v>517</v>
      </c>
      <c r="D86">
        <v>27300445.690000031</v>
      </c>
    </row>
    <row r="87" spans="1:4">
      <c r="A87" t="s">
        <v>818</v>
      </c>
      <c r="B87" t="s">
        <v>904</v>
      </c>
      <c r="C87">
        <v>407</v>
      </c>
      <c r="D87">
        <v>22365974.559999999</v>
      </c>
    </row>
    <row r="88" spans="1:4">
      <c r="A88" t="s">
        <v>818</v>
      </c>
      <c r="B88" t="s">
        <v>905</v>
      </c>
      <c r="C88">
        <v>348</v>
      </c>
      <c r="D88">
        <v>19830864.739999995</v>
      </c>
    </row>
    <row r="89" spans="1:4">
      <c r="A89" t="s">
        <v>818</v>
      </c>
      <c r="B89" t="s">
        <v>906</v>
      </c>
      <c r="C89">
        <v>294</v>
      </c>
      <c r="D89">
        <v>17350335.100000013</v>
      </c>
    </row>
    <row r="90" spans="1:4">
      <c r="A90" t="s">
        <v>818</v>
      </c>
      <c r="B90" t="s">
        <v>907</v>
      </c>
      <c r="C90">
        <v>278</v>
      </c>
      <c r="D90">
        <v>16877350.669999994</v>
      </c>
    </row>
    <row r="91" spans="1:4">
      <c r="A91" t="s">
        <v>818</v>
      </c>
      <c r="B91" t="s">
        <v>908</v>
      </c>
      <c r="C91">
        <v>254</v>
      </c>
      <c r="D91">
        <v>16000322.039999992</v>
      </c>
    </row>
    <row r="92" spans="1:4">
      <c r="A92" t="s">
        <v>818</v>
      </c>
      <c r="B92" t="s">
        <v>909</v>
      </c>
      <c r="C92">
        <v>200</v>
      </c>
      <c r="D92">
        <v>13008161.479999987</v>
      </c>
    </row>
    <row r="93" spans="1:4">
      <c r="A93" t="s">
        <v>818</v>
      </c>
      <c r="B93" t="s">
        <v>910</v>
      </c>
      <c r="C93">
        <v>167</v>
      </c>
      <c r="D93">
        <v>11193418.300000003</v>
      </c>
    </row>
    <row r="94" spans="1:4">
      <c r="A94" t="s">
        <v>818</v>
      </c>
      <c r="B94" t="s">
        <v>911</v>
      </c>
      <c r="C94">
        <v>173</v>
      </c>
      <c r="D94">
        <v>11930526.710000006</v>
      </c>
    </row>
    <row r="95" spans="1:4">
      <c r="A95" t="s">
        <v>818</v>
      </c>
      <c r="B95" t="s">
        <v>912</v>
      </c>
      <c r="C95">
        <v>157</v>
      </c>
      <c r="D95">
        <v>11095407.619999994</v>
      </c>
    </row>
    <row r="96" spans="1:4">
      <c r="A96" t="s">
        <v>818</v>
      </c>
      <c r="B96" t="s">
        <v>913</v>
      </c>
      <c r="C96">
        <v>174</v>
      </c>
      <c r="D96">
        <v>12705017.839999994</v>
      </c>
    </row>
    <row r="97" spans="1:4">
      <c r="A97" t="s">
        <v>818</v>
      </c>
      <c r="B97" t="s">
        <v>914</v>
      </c>
      <c r="C97">
        <v>247</v>
      </c>
      <c r="D97">
        <v>18506497.190000001</v>
      </c>
    </row>
    <row r="98" spans="1:4">
      <c r="A98" t="s">
        <v>818</v>
      </c>
      <c r="B98" t="s">
        <v>915</v>
      </c>
      <c r="C98">
        <v>108</v>
      </c>
      <c r="D98">
        <v>8321454.5399999991</v>
      </c>
    </row>
    <row r="99" spans="1:4">
      <c r="A99" t="s">
        <v>818</v>
      </c>
      <c r="B99" t="s">
        <v>916</v>
      </c>
      <c r="C99">
        <v>168</v>
      </c>
      <c r="D99">
        <v>13243095.320000025</v>
      </c>
    </row>
    <row r="100" spans="1:4">
      <c r="A100" t="s">
        <v>818</v>
      </c>
      <c r="B100" t="s">
        <v>917</v>
      </c>
      <c r="C100">
        <v>125</v>
      </c>
      <c r="D100">
        <v>10122040.210000005</v>
      </c>
    </row>
    <row r="101" spans="1:4">
      <c r="A101" t="s">
        <v>818</v>
      </c>
      <c r="B101" t="s">
        <v>918</v>
      </c>
      <c r="C101">
        <v>97</v>
      </c>
      <c r="D101">
        <v>8047037.7199999997</v>
      </c>
    </row>
    <row r="102" spans="1:4">
      <c r="A102" t="s">
        <v>818</v>
      </c>
      <c r="B102" t="s">
        <v>919</v>
      </c>
      <c r="C102">
        <v>89</v>
      </c>
      <c r="D102">
        <v>7560451.3800000027</v>
      </c>
    </row>
    <row r="103" spans="1:4">
      <c r="A103" t="s">
        <v>818</v>
      </c>
      <c r="B103" t="s">
        <v>920</v>
      </c>
      <c r="C103">
        <v>44</v>
      </c>
      <c r="D103">
        <v>3823869.95</v>
      </c>
    </row>
    <row r="104" spans="1:4">
      <c r="A104" t="s">
        <v>818</v>
      </c>
      <c r="B104" t="s">
        <v>921</v>
      </c>
      <c r="C104">
        <v>25</v>
      </c>
      <c r="D104">
        <v>2217802.25</v>
      </c>
    </row>
    <row r="105" spans="1:4">
      <c r="A105" t="s">
        <v>818</v>
      </c>
      <c r="B105" t="s">
        <v>922</v>
      </c>
      <c r="C105">
        <v>10</v>
      </c>
      <c r="D105">
        <v>910128.32</v>
      </c>
    </row>
    <row r="106" spans="1:4">
      <c r="A106" t="s">
        <v>818</v>
      </c>
      <c r="B106" t="s">
        <v>923</v>
      </c>
      <c r="C106">
        <v>10</v>
      </c>
      <c r="D106">
        <v>928026.11999999988</v>
      </c>
    </row>
    <row r="107" spans="1:4">
      <c r="A107" t="s">
        <v>818</v>
      </c>
      <c r="B107" t="s">
        <v>924</v>
      </c>
      <c r="C107">
        <v>4</v>
      </c>
      <c r="D107">
        <v>376867.74</v>
      </c>
    </row>
    <row r="108" spans="1:4">
      <c r="A108" t="s">
        <v>818</v>
      </c>
      <c r="B108" t="s">
        <v>925</v>
      </c>
      <c r="C108">
        <v>2</v>
      </c>
      <c r="D108">
        <v>192511.51</v>
      </c>
    </row>
    <row r="109" spans="1:4">
      <c r="A109" t="s">
        <v>818</v>
      </c>
      <c r="B109" t="s">
        <v>926</v>
      </c>
      <c r="C109">
        <v>3</v>
      </c>
      <c r="D109">
        <v>297584.40000000002</v>
      </c>
    </row>
    <row r="110" spans="1:4">
      <c r="A110" t="s">
        <v>818</v>
      </c>
      <c r="B110" t="s">
        <v>927</v>
      </c>
      <c r="C110">
        <v>4</v>
      </c>
      <c r="D110">
        <v>437781.72000000003</v>
      </c>
    </row>
    <row r="111" spans="1:4">
      <c r="A111" t="s">
        <v>928</v>
      </c>
      <c r="B111" t="s">
        <v>929</v>
      </c>
      <c r="D111">
        <v>47197974.730000086</v>
      </c>
    </row>
    <row r="112" spans="1:4">
      <c r="A112" t="s">
        <v>818</v>
      </c>
      <c r="B112" t="s">
        <v>930</v>
      </c>
      <c r="C112">
        <v>1</v>
      </c>
      <c r="D112">
        <v>91594.46</v>
      </c>
    </row>
    <row r="113" spans="1:4">
      <c r="A113" t="s">
        <v>818</v>
      </c>
      <c r="B113" t="s">
        <v>931</v>
      </c>
      <c r="C113">
        <v>2</v>
      </c>
      <c r="D113">
        <v>86168.4</v>
      </c>
    </row>
    <row r="114" spans="1:4">
      <c r="A114" t="s">
        <v>818</v>
      </c>
      <c r="B114" t="s">
        <v>932</v>
      </c>
      <c r="C114">
        <v>1</v>
      </c>
      <c r="D114">
        <v>85966.92</v>
      </c>
    </row>
    <row r="115" spans="1:4">
      <c r="A115" t="s">
        <v>818</v>
      </c>
      <c r="B115" t="s">
        <v>933</v>
      </c>
      <c r="C115">
        <v>1</v>
      </c>
      <c r="D115">
        <v>85470.94</v>
      </c>
    </row>
    <row r="116" spans="1:4">
      <c r="A116" t="s">
        <v>818</v>
      </c>
      <c r="B116" t="s">
        <v>934</v>
      </c>
      <c r="C116">
        <v>1</v>
      </c>
      <c r="D116">
        <v>85311.23</v>
      </c>
    </row>
    <row r="117" spans="1:4">
      <c r="A117" t="s">
        <v>818</v>
      </c>
      <c r="B117" t="s">
        <v>935</v>
      </c>
      <c r="C117">
        <v>1</v>
      </c>
      <c r="D117">
        <v>85027.1</v>
      </c>
    </row>
    <row r="118" spans="1:4">
      <c r="A118" t="s">
        <v>818</v>
      </c>
      <c r="B118" t="s">
        <v>936</v>
      </c>
      <c r="C118">
        <v>1</v>
      </c>
      <c r="D118">
        <v>84846.9</v>
      </c>
    </row>
    <row r="119" spans="1:4">
      <c r="A119" t="s">
        <v>818</v>
      </c>
      <c r="B119" t="s">
        <v>937</v>
      </c>
      <c r="C119">
        <v>1</v>
      </c>
      <c r="D119">
        <v>84366.31</v>
      </c>
    </row>
    <row r="120" spans="1:4">
      <c r="A120" t="s">
        <v>818</v>
      </c>
      <c r="B120" t="s">
        <v>938</v>
      </c>
      <c r="C120">
        <v>1</v>
      </c>
      <c r="D120">
        <v>84259.08</v>
      </c>
    </row>
    <row r="121" spans="1:4">
      <c r="A121" t="s">
        <v>818</v>
      </c>
      <c r="B121" t="s">
        <v>939</v>
      </c>
      <c r="C121">
        <v>1</v>
      </c>
      <c r="D121">
        <v>84238.81</v>
      </c>
    </row>
    <row r="122" spans="1:4">
      <c r="A122" t="s">
        <v>818</v>
      </c>
      <c r="B122" t="s">
        <v>940</v>
      </c>
      <c r="C122">
        <v>1</v>
      </c>
      <c r="D122">
        <v>84026.8</v>
      </c>
    </row>
    <row r="123" spans="1:4">
      <c r="A123" t="s">
        <v>818</v>
      </c>
      <c r="B123" t="s">
        <v>941</v>
      </c>
      <c r="C123">
        <v>1</v>
      </c>
      <c r="D123">
        <v>90529.19</v>
      </c>
    </row>
    <row r="124" spans="1:4">
      <c r="A124" t="s">
        <v>818</v>
      </c>
      <c r="B124" t="s">
        <v>942</v>
      </c>
      <c r="C124">
        <v>1</v>
      </c>
      <c r="D124">
        <v>84021.65</v>
      </c>
    </row>
    <row r="125" spans="1:4">
      <c r="A125" t="s">
        <v>818</v>
      </c>
      <c r="B125" t="s">
        <v>943</v>
      </c>
      <c r="C125">
        <v>1</v>
      </c>
      <c r="D125">
        <v>83906.85</v>
      </c>
    </row>
    <row r="126" spans="1:4">
      <c r="A126" t="s">
        <v>818</v>
      </c>
      <c r="B126" t="s">
        <v>944</v>
      </c>
      <c r="C126">
        <v>1</v>
      </c>
      <c r="D126">
        <v>83863.649999999994</v>
      </c>
    </row>
    <row r="127" spans="1:4">
      <c r="A127" t="s">
        <v>818</v>
      </c>
      <c r="B127" t="s">
        <v>945</v>
      </c>
      <c r="C127">
        <v>1</v>
      </c>
      <c r="D127">
        <v>83793.2</v>
      </c>
    </row>
    <row r="128" spans="1:4">
      <c r="A128" t="s">
        <v>818</v>
      </c>
      <c r="B128" t="s">
        <v>946</v>
      </c>
      <c r="C128">
        <v>1</v>
      </c>
      <c r="D128">
        <v>83721.67</v>
      </c>
    </row>
    <row r="129" spans="1:4">
      <c r="A129" t="s">
        <v>818</v>
      </c>
      <c r="B129" t="s">
        <v>947</v>
      </c>
      <c r="C129">
        <v>1</v>
      </c>
      <c r="D129">
        <v>83720.97</v>
      </c>
    </row>
    <row r="130" spans="1:4">
      <c r="A130" t="s">
        <v>818</v>
      </c>
      <c r="B130" t="s">
        <v>948</v>
      </c>
      <c r="C130">
        <v>1</v>
      </c>
      <c r="D130">
        <v>89838.6</v>
      </c>
    </row>
    <row r="131" spans="1:4">
      <c r="A131" t="s">
        <v>818</v>
      </c>
      <c r="B131" t="s">
        <v>949</v>
      </c>
      <c r="C131">
        <v>1</v>
      </c>
      <c r="D131">
        <v>89009.75</v>
      </c>
    </row>
    <row r="132" spans="1:4">
      <c r="A132" t="s">
        <v>818</v>
      </c>
      <c r="B132" t="s">
        <v>950</v>
      </c>
      <c r="C132">
        <v>1</v>
      </c>
      <c r="D132">
        <v>87789.58</v>
      </c>
    </row>
    <row r="133" spans="1:4">
      <c r="A133" t="s">
        <v>818</v>
      </c>
      <c r="B133" t="s">
        <v>951</v>
      </c>
      <c r="C133">
        <v>1</v>
      </c>
      <c r="D133">
        <v>87031.48</v>
      </c>
    </row>
    <row r="134" spans="1:4">
      <c r="A134" t="s">
        <v>818</v>
      </c>
      <c r="B134" t="s">
        <v>952</v>
      </c>
      <c r="C134">
        <v>1</v>
      </c>
      <c r="D134">
        <v>86730.84</v>
      </c>
    </row>
    <row r="135" spans="1:4">
      <c r="A135" t="s">
        <v>818</v>
      </c>
      <c r="B135" t="s">
        <v>953</v>
      </c>
      <c r="C135">
        <v>1</v>
      </c>
      <c r="D135">
        <v>86437.79</v>
      </c>
    </row>
    <row r="136" spans="1:4">
      <c r="A136" t="s">
        <v>818</v>
      </c>
      <c r="B136" t="s">
        <v>954</v>
      </c>
      <c r="C136">
        <v>1</v>
      </c>
      <c r="D136">
        <v>86225.53</v>
      </c>
    </row>
    <row r="137" spans="1:4">
      <c r="A137" t="s">
        <v>818</v>
      </c>
      <c r="B137" t="s">
        <v>955</v>
      </c>
      <c r="C137">
        <v>189</v>
      </c>
      <c r="D137">
        <v>5913995.7400000002</v>
      </c>
    </row>
    <row r="138" spans="1:4">
      <c r="A138" t="s">
        <v>818</v>
      </c>
      <c r="B138" t="s">
        <v>956</v>
      </c>
      <c r="C138">
        <v>50765</v>
      </c>
      <c r="D138">
        <v>938192271.65000105</v>
      </c>
    </row>
    <row r="139" spans="1:4">
      <c r="A139" t="s">
        <v>818</v>
      </c>
      <c r="B139" t="s">
        <v>957</v>
      </c>
      <c r="C139">
        <v>6369</v>
      </c>
      <c r="D139">
        <v>126849749.34000008</v>
      </c>
    </row>
    <row r="140" spans="1:4">
      <c r="A140" t="s">
        <v>818</v>
      </c>
      <c r="B140" t="s">
        <v>958</v>
      </c>
      <c r="C140">
        <v>6458</v>
      </c>
      <c r="D140">
        <v>121003118.29999989</v>
      </c>
    </row>
    <row r="141" spans="1:4">
      <c r="A141" t="s">
        <v>818</v>
      </c>
      <c r="B141" t="s">
        <v>959</v>
      </c>
      <c r="C141">
        <v>2044</v>
      </c>
      <c r="D141">
        <v>39036388.730000004</v>
      </c>
    </row>
    <row r="142" spans="1:4">
      <c r="A142" t="s">
        <v>818</v>
      </c>
      <c r="B142" t="s">
        <v>960</v>
      </c>
      <c r="C142">
        <v>2109</v>
      </c>
      <c r="D142">
        <v>36506410.06000004</v>
      </c>
    </row>
    <row r="143" spans="1:4">
      <c r="A143" t="s">
        <v>818</v>
      </c>
      <c r="B143" t="s">
        <v>961</v>
      </c>
      <c r="C143">
        <v>467</v>
      </c>
      <c r="D143">
        <v>8373769.8199999947</v>
      </c>
    </row>
    <row r="144" spans="1:4">
      <c r="A144" t="s">
        <v>818</v>
      </c>
      <c r="B144" t="s">
        <v>962</v>
      </c>
      <c r="C144">
        <v>1003</v>
      </c>
      <c r="D144">
        <v>17602316.539999999</v>
      </c>
    </row>
    <row r="145" spans="1:4">
      <c r="A145" t="s">
        <v>818</v>
      </c>
      <c r="B145" t="s">
        <v>963</v>
      </c>
      <c r="C145">
        <v>3607</v>
      </c>
      <c r="D145">
        <v>70696416.519999996</v>
      </c>
    </row>
    <row r="146" spans="1:4">
      <c r="A146" t="s">
        <v>818</v>
      </c>
      <c r="B146" t="s">
        <v>964</v>
      </c>
      <c r="C146">
        <v>5532</v>
      </c>
      <c r="D146">
        <v>99247045.079999909</v>
      </c>
    </row>
    <row r="147" spans="1:4">
      <c r="A147" t="s">
        <v>818</v>
      </c>
      <c r="B147" t="s">
        <v>965</v>
      </c>
      <c r="C147">
        <v>1492</v>
      </c>
      <c r="D147">
        <v>26649937.259999976</v>
      </c>
    </row>
    <row r="148" spans="1:4">
      <c r="A148" t="s">
        <v>818</v>
      </c>
      <c r="B148" t="s">
        <v>966</v>
      </c>
      <c r="C148">
        <v>10868</v>
      </c>
      <c r="D148">
        <v>205899907.32999986</v>
      </c>
    </row>
    <row r="149" spans="1:4">
      <c r="A149" t="s">
        <v>818</v>
      </c>
      <c r="B149" t="s">
        <v>967</v>
      </c>
      <c r="C149">
        <v>2777</v>
      </c>
      <c r="D149">
        <v>51914546.6300001</v>
      </c>
    </row>
    <row r="150" spans="1:4">
      <c r="A150" t="s">
        <v>818</v>
      </c>
      <c r="B150" t="s">
        <v>968</v>
      </c>
      <c r="C150">
        <v>815</v>
      </c>
      <c r="D150">
        <v>14535086.42</v>
      </c>
    </row>
    <row r="151" spans="1:4">
      <c r="A151" t="s">
        <v>969</v>
      </c>
      <c r="B151" t="s">
        <v>970</v>
      </c>
      <c r="C151">
        <v>0</v>
      </c>
      <c r="D151">
        <v>0</v>
      </c>
    </row>
    <row r="152" spans="1:4">
      <c r="A152" t="s">
        <v>818</v>
      </c>
      <c r="B152" t="s">
        <v>971</v>
      </c>
      <c r="C152">
        <v>2281</v>
      </c>
      <c r="D152">
        <v>38148858.900000006</v>
      </c>
    </row>
    <row r="153" spans="1:4">
      <c r="A153" t="s">
        <v>818</v>
      </c>
      <c r="B153" t="s">
        <v>972</v>
      </c>
      <c r="C153">
        <v>1798</v>
      </c>
      <c r="D153">
        <v>30510903.760000028</v>
      </c>
    </row>
    <row r="154" spans="1:4">
      <c r="A154" t="s">
        <v>818</v>
      </c>
      <c r="B154" t="s">
        <v>973</v>
      </c>
      <c r="C154">
        <v>1912</v>
      </c>
      <c r="D154">
        <v>32050524.599999946</v>
      </c>
    </row>
    <row r="155" spans="1:4">
      <c r="A155" t="s">
        <v>818</v>
      </c>
      <c r="B155" t="s">
        <v>974</v>
      </c>
      <c r="C155">
        <v>1412</v>
      </c>
      <c r="D155">
        <v>24871101.269999973</v>
      </c>
    </row>
    <row r="156" spans="1:4">
      <c r="A156" t="s">
        <v>818</v>
      </c>
      <c r="B156" t="s">
        <v>975</v>
      </c>
      <c r="C156">
        <v>10</v>
      </c>
      <c r="D156">
        <v>210186.83000000002</v>
      </c>
    </row>
    <row r="157" spans="1:4">
      <c r="A157" t="s">
        <v>818</v>
      </c>
      <c r="B157" t="s">
        <v>976</v>
      </c>
      <c r="C157">
        <v>17101</v>
      </c>
      <c r="D157">
        <v>239407327.36999941</v>
      </c>
    </row>
    <row r="158" spans="1:4">
      <c r="A158" t="s">
        <v>818</v>
      </c>
      <c r="B158" t="s">
        <v>977</v>
      </c>
      <c r="C158">
        <v>33853</v>
      </c>
      <c r="D158">
        <v>704698940.02000213</v>
      </c>
    </row>
    <row r="159" spans="1:4">
      <c r="A159" t="s">
        <v>818</v>
      </c>
      <c r="B159" t="s">
        <v>978</v>
      </c>
      <c r="C159">
        <v>50954</v>
      </c>
      <c r="D159">
        <v>9.0358145999252834E-2</v>
      </c>
    </row>
    <row r="160" spans="1:4">
      <c r="A160" t="s">
        <v>818</v>
      </c>
      <c r="B160" t="s">
        <v>979</v>
      </c>
      <c r="C160">
        <v>50428</v>
      </c>
      <c r="D160">
        <v>937517404.44999802</v>
      </c>
    </row>
    <row r="161" spans="1:4">
      <c r="A161" t="s">
        <v>818</v>
      </c>
      <c r="B161" t="s">
        <v>980</v>
      </c>
      <c r="C161">
        <v>260</v>
      </c>
      <c r="D161">
        <v>6524190.1500000013</v>
      </c>
    </row>
    <row r="162" spans="1:4">
      <c r="A162" t="s">
        <v>818</v>
      </c>
      <c r="B162" t="s">
        <v>981</v>
      </c>
      <c r="C162">
        <v>2</v>
      </c>
      <c r="D162">
        <v>64672.789999999994</v>
      </c>
    </row>
    <row r="163" spans="1:4">
      <c r="A163" t="s">
        <v>969</v>
      </c>
      <c r="B163" t="s">
        <v>982</v>
      </c>
      <c r="C163">
        <v>0</v>
      </c>
      <c r="D163">
        <v>0</v>
      </c>
    </row>
    <row r="164" spans="1:4">
      <c r="A164" t="s">
        <v>969</v>
      </c>
      <c r="B164" t="s">
        <v>983</v>
      </c>
      <c r="C164">
        <v>0</v>
      </c>
      <c r="D164">
        <v>0</v>
      </c>
    </row>
    <row r="165" spans="1:4">
      <c r="A165" t="s">
        <v>969</v>
      </c>
      <c r="B165" t="s">
        <v>984</v>
      </c>
      <c r="C165">
        <v>0</v>
      </c>
      <c r="D165">
        <v>0</v>
      </c>
    </row>
    <row r="166" spans="1:4">
      <c r="A166" t="s">
        <v>969</v>
      </c>
      <c r="B166" t="s">
        <v>985</v>
      </c>
      <c r="C166">
        <v>0</v>
      </c>
      <c r="D166">
        <v>0</v>
      </c>
    </row>
    <row r="167" spans="1:4">
      <c r="A167" t="s">
        <v>818</v>
      </c>
      <c r="B167" t="s">
        <v>986</v>
      </c>
      <c r="C167">
        <v>774</v>
      </c>
      <c r="D167">
        <v>1098151.9000000011</v>
      </c>
    </row>
    <row r="168" spans="1:4">
      <c r="A168" t="s">
        <v>818</v>
      </c>
      <c r="B168" t="s">
        <v>987</v>
      </c>
      <c r="C168">
        <v>2005</v>
      </c>
      <c r="D168">
        <v>5057740.1899999995</v>
      </c>
    </row>
    <row r="169" spans="1:4">
      <c r="A169" t="s">
        <v>818</v>
      </c>
      <c r="B169" t="s">
        <v>988</v>
      </c>
      <c r="C169">
        <v>349</v>
      </c>
      <c r="D169">
        <v>1732842.9500000002</v>
      </c>
    </row>
    <row r="170" spans="1:4">
      <c r="A170" t="s">
        <v>818</v>
      </c>
      <c r="B170" t="s">
        <v>989</v>
      </c>
      <c r="C170">
        <v>2551</v>
      </c>
      <c r="D170">
        <v>11941780.879999995</v>
      </c>
    </row>
    <row r="171" spans="1:4">
      <c r="A171" t="s">
        <v>818</v>
      </c>
      <c r="B171" t="s">
        <v>990</v>
      </c>
      <c r="C171">
        <v>501</v>
      </c>
      <c r="D171">
        <v>4187257.9200000004</v>
      </c>
    </row>
    <row r="172" spans="1:4">
      <c r="A172" t="s">
        <v>818</v>
      </c>
      <c r="B172" t="s">
        <v>991</v>
      </c>
      <c r="C172">
        <v>2998</v>
      </c>
      <c r="D172">
        <v>20861993.510000017</v>
      </c>
    </row>
    <row r="173" spans="1:4">
      <c r="A173" t="s">
        <v>818</v>
      </c>
      <c r="B173" t="s">
        <v>992</v>
      </c>
      <c r="C173">
        <v>3421</v>
      </c>
      <c r="D173">
        <v>33579274.520000033</v>
      </c>
    </row>
    <row r="174" spans="1:4">
      <c r="A174" t="s">
        <v>818</v>
      </c>
      <c r="B174" t="s">
        <v>993</v>
      </c>
      <c r="C174">
        <v>586</v>
      </c>
      <c r="D174">
        <v>8476244.6700000037</v>
      </c>
    </row>
    <row r="175" spans="1:4">
      <c r="A175" t="s">
        <v>818</v>
      </c>
      <c r="B175" t="s">
        <v>994</v>
      </c>
      <c r="C175">
        <v>2550</v>
      </c>
      <c r="D175">
        <v>34603752.75</v>
      </c>
    </row>
    <row r="176" spans="1:4">
      <c r="A176" t="s">
        <v>818</v>
      </c>
      <c r="B176" t="s">
        <v>995</v>
      </c>
      <c r="C176">
        <v>652</v>
      </c>
      <c r="D176">
        <v>14127612.890000006</v>
      </c>
    </row>
    <row r="177" spans="1:4">
      <c r="A177" t="s">
        <v>818</v>
      </c>
      <c r="B177" t="s">
        <v>996</v>
      </c>
      <c r="C177">
        <v>4523</v>
      </c>
      <c r="D177">
        <v>74519391.669999897</v>
      </c>
    </row>
    <row r="178" spans="1:4">
      <c r="A178" t="s">
        <v>818</v>
      </c>
      <c r="B178" t="s">
        <v>997</v>
      </c>
      <c r="C178">
        <v>24726</v>
      </c>
      <c r="D178">
        <v>604186756.48000157</v>
      </c>
    </row>
    <row r="179" spans="1:4">
      <c r="A179" t="s">
        <v>818</v>
      </c>
      <c r="B179" t="s">
        <v>998</v>
      </c>
      <c r="C179">
        <v>4197</v>
      </c>
      <c r="D179">
        <v>125391485.37999965</v>
      </c>
    </row>
    <row r="180" spans="1:4">
      <c r="A180" t="s">
        <v>818</v>
      </c>
      <c r="B180" t="s">
        <v>999</v>
      </c>
      <c r="C180">
        <v>959</v>
      </c>
      <c r="D180">
        <v>525177.24000000034</v>
      </c>
    </row>
    <row r="181" spans="1:4">
      <c r="A181" t="s">
        <v>818</v>
      </c>
      <c r="B181" t="s">
        <v>1000</v>
      </c>
      <c r="C181">
        <v>159</v>
      </c>
      <c r="D181">
        <v>3749716.560000001</v>
      </c>
    </row>
    <row r="182" spans="1:4">
      <c r="A182" t="s">
        <v>818</v>
      </c>
      <c r="B182" t="s">
        <v>1001</v>
      </c>
      <c r="C182">
        <v>3</v>
      </c>
      <c r="D182">
        <v>67087.88</v>
      </c>
    </row>
    <row r="183" spans="1:4">
      <c r="A183" t="s">
        <v>818</v>
      </c>
      <c r="B183" t="s">
        <v>1002</v>
      </c>
      <c r="C183">
        <v>50954</v>
      </c>
      <c r="D183">
        <v>91.00995234738383</v>
      </c>
    </row>
    <row r="184" spans="1:4">
      <c r="A184" t="s">
        <v>818</v>
      </c>
      <c r="B184" t="s">
        <v>1003</v>
      </c>
      <c r="C184">
        <v>10051</v>
      </c>
      <c r="D184">
        <v>201370216.33000034</v>
      </c>
    </row>
    <row r="185" spans="1:4">
      <c r="A185" t="s">
        <v>818</v>
      </c>
      <c r="B185" t="s">
        <v>1004</v>
      </c>
      <c r="C185">
        <v>40903</v>
      </c>
      <c r="D185">
        <v>742736051.06000185</v>
      </c>
    </row>
    <row r="186" spans="1:4">
      <c r="A186" t="s">
        <v>818</v>
      </c>
      <c r="B186" t="s">
        <v>1005</v>
      </c>
      <c r="C186">
        <v>49805</v>
      </c>
      <c r="D186">
        <v>918700779.64000082</v>
      </c>
    </row>
    <row r="187" spans="1:4">
      <c r="A187" t="s">
        <v>818</v>
      </c>
      <c r="B187" t="s">
        <v>1006</v>
      </c>
      <c r="C187">
        <v>1149</v>
      </c>
      <c r="D187">
        <v>25405487.750000011</v>
      </c>
    </row>
    <row r="188" spans="1:4">
      <c r="A188" t="s">
        <v>818</v>
      </c>
      <c r="B188" t="s">
        <v>1007</v>
      </c>
      <c r="C188">
        <v>50954</v>
      </c>
      <c r="D188">
        <v>944106267.39000177</v>
      </c>
    </row>
    <row r="189" spans="1:4">
      <c r="A189" t="s">
        <v>818</v>
      </c>
      <c r="B189" t="s">
        <v>1008</v>
      </c>
      <c r="C189">
        <v>49057</v>
      </c>
      <c r="D189">
        <v>851831166.73000002</v>
      </c>
    </row>
    <row r="190" spans="1:4">
      <c r="A190" t="s">
        <v>818</v>
      </c>
      <c r="B190" t="s">
        <v>1009</v>
      </c>
      <c r="C190">
        <v>4</v>
      </c>
      <c r="D190">
        <v>1239.3900000000001</v>
      </c>
    </row>
    <row r="191" spans="1:4">
      <c r="A191" t="s">
        <v>818</v>
      </c>
      <c r="B191" t="s">
        <v>1010</v>
      </c>
      <c r="C191">
        <v>2</v>
      </c>
      <c r="D191">
        <v>675.45</v>
      </c>
    </row>
    <row r="192" spans="1:4">
      <c r="A192" t="s">
        <v>818</v>
      </c>
      <c r="B192" t="s">
        <v>1011</v>
      </c>
      <c r="C192">
        <v>2</v>
      </c>
      <c r="D192">
        <v>548.75</v>
      </c>
    </row>
    <row r="193" spans="1:4">
      <c r="A193" t="s">
        <v>818</v>
      </c>
      <c r="B193" t="s">
        <v>1012</v>
      </c>
      <c r="C193">
        <v>1</v>
      </c>
      <c r="D193">
        <v>420.95</v>
      </c>
    </row>
    <row r="194" spans="1:4">
      <c r="A194" t="s">
        <v>818</v>
      </c>
      <c r="B194" t="s">
        <v>1013</v>
      </c>
      <c r="C194">
        <v>1</v>
      </c>
      <c r="D194">
        <v>361.67</v>
      </c>
    </row>
    <row r="195" spans="1:4">
      <c r="A195" t="s">
        <v>818</v>
      </c>
      <c r="B195" t="s">
        <v>1014</v>
      </c>
      <c r="C195">
        <v>1</v>
      </c>
      <c r="D195">
        <v>302.11</v>
      </c>
    </row>
    <row r="196" spans="1:4">
      <c r="A196" t="s">
        <v>818</v>
      </c>
      <c r="B196" t="s">
        <v>1015</v>
      </c>
      <c r="C196">
        <v>1</v>
      </c>
      <c r="D196">
        <v>242.26</v>
      </c>
    </row>
    <row r="197" spans="1:4">
      <c r="A197" t="s">
        <v>818</v>
      </c>
      <c r="B197" t="s">
        <v>1016</v>
      </c>
      <c r="C197">
        <v>1</v>
      </c>
      <c r="D197">
        <v>182.12</v>
      </c>
    </row>
    <row r="198" spans="1:4">
      <c r="A198" t="s">
        <v>818</v>
      </c>
      <c r="B198" t="s">
        <v>1017</v>
      </c>
      <c r="C198">
        <v>1</v>
      </c>
      <c r="D198">
        <v>121.7</v>
      </c>
    </row>
    <row r="199" spans="1:4">
      <c r="A199" t="s">
        <v>818</v>
      </c>
      <c r="B199" t="s">
        <v>1018</v>
      </c>
      <c r="C199">
        <v>1</v>
      </c>
      <c r="D199">
        <v>60.99</v>
      </c>
    </row>
    <row r="200" spans="1:4">
      <c r="A200" t="s">
        <v>818</v>
      </c>
      <c r="B200" t="s">
        <v>1019</v>
      </c>
      <c r="C200">
        <v>48855</v>
      </c>
      <c r="D200">
        <v>841376350.48000002</v>
      </c>
    </row>
    <row r="201" spans="1:4">
      <c r="A201" t="s">
        <v>818</v>
      </c>
      <c r="B201" t="s">
        <v>1020</v>
      </c>
      <c r="C201">
        <v>0</v>
      </c>
      <c r="D201">
        <v>0</v>
      </c>
    </row>
    <row r="202" spans="1:4">
      <c r="A202" t="s">
        <v>818</v>
      </c>
      <c r="B202" t="s">
        <v>1021</v>
      </c>
      <c r="C202">
        <v>0</v>
      </c>
      <c r="D202">
        <v>0</v>
      </c>
    </row>
    <row r="203" spans="1:4">
      <c r="A203" t="s">
        <v>818</v>
      </c>
      <c r="B203" t="s">
        <v>1022</v>
      </c>
      <c r="C203">
        <v>48637</v>
      </c>
      <c r="D203">
        <v>830886140.75999999</v>
      </c>
    </row>
    <row r="204" spans="1:4">
      <c r="A204" t="s">
        <v>818</v>
      </c>
      <c r="B204" t="s">
        <v>1023</v>
      </c>
      <c r="C204">
        <v>48412</v>
      </c>
      <c r="D204">
        <v>820361571.55999994</v>
      </c>
    </row>
    <row r="205" spans="1:4">
      <c r="A205" t="s">
        <v>818</v>
      </c>
      <c r="B205" t="s">
        <v>1024</v>
      </c>
      <c r="C205">
        <v>48108</v>
      </c>
      <c r="D205">
        <v>809797970.78999996</v>
      </c>
    </row>
    <row r="206" spans="1:4">
      <c r="A206" t="s">
        <v>818</v>
      </c>
      <c r="B206" t="s">
        <v>1025</v>
      </c>
      <c r="C206">
        <v>47707</v>
      </c>
      <c r="D206">
        <v>799216288.73000002</v>
      </c>
    </row>
    <row r="207" spans="1:4">
      <c r="A207" t="s">
        <v>818</v>
      </c>
      <c r="B207" t="s">
        <v>1026</v>
      </c>
      <c r="C207">
        <v>47389</v>
      </c>
      <c r="D207">
        <v>788635126.88</v>
      </c>
    </row>
    <row r="208" spans="1:4">
      <c r="A208" t="s">
        <v>818</v>
      </c>
      <c r="B208" t="s">
        <v>1027</v>
      </c>
      <c r="C208">
        <v>47100</v>
      </c>
      <c r="D208">
        <v>778038214.15999997</v>
      </c>
    </row>
    <row r="209" spans="1:4">
      <c r="A209" t="s">
        <v>818</v>
      </c>
      <c r="B209" t="s">
        <v>1028</v>
      </c>
      <c r="C209">
        <v>46951</v>
      </c>
      <c r="D209">
        <v>767423014.89999998</v>
      </c>
    </row>
    <row r="210" spans="1:4">
      <c r="A210" t="s">
        <v>818</v>
      </c>
      <c r="B210" t="s">
        <v>1029</v>
      </c>
      <c r="C210">
        <v>46866</v>
      </c>
      <c r="D210">
        <v>756760804.88</v>
      </c>
    </row>
    <row r="211" spans="1:4">
      <c r="A211" t="s">
        <v>818</v>
      </c>
      <c r="B211" t="s">
        <v>1030</v>
      </c>
      <c r="C211">
        <v>50577</v>
      </c>
      <c r="D211">
        <v>934004599.36000001</v>
      </c>
    </row>
    <row r="212" spans="1:4">
      <c r="A212" t="s">
        <v>818</v>
      </c>
      <c r="B212" t="s">
        <v>1031</v>
      </c>
      <c r="C212">
        <v>46785</v>
      </c>
      <c r="D212">
        <v>746041334.38999999</v>
      </c>
    </row>
    <row r="213" spans="1:4">
      <c r="A213" t="s">
        <v>818</v>
      </c>
      <c r="B213" t="s">
        <v>1032</v>
      </c>
      <c r="C213">
        <v>46696</v>
      </c>
      <c r="D213">
        <v>735261522.48000002</v>
      </c>
    </row>
    <row r="214" spans="1:4">
      <c r="A214" t="s">
        <v>818</v>
      </c>
      <c r="B214" t="s">
        <v>1033</v>
      </c>
      <c r="C214">
        <v>46587</v>
      </c>
      <c r="D214">
        <v>724421321.80999994</v>
      </c>
    </row>
    <row r="215" spans="1:4">
      <c r="A215" t="s">
        <v>818</v>
      </c>
      <c r="B215" t="s">
        <v>1034</v>
      </c>
      <c r="C215">
        <v>46394</v>
      </c>
      <c r="D215">
        <v>713525088.62</v>
      </c>
    </row>
    <row r="216" spans="1:4">
      <c r="A216" t="s">
        <v>818</v>
      </c>
      <c r="B216" t="s">
        <v>1035</v>
      </c>
      <c r="C216">
        <v>46149</v>
      </c>
      <c r="D216">
        <v>702588290.96000004</v>
      </c>
    </row>
    <row r="217" spans="1:4">
      <c r="A217" t="s">
        <v>818</v>
      </c>
      <c r="B217" t="s">
        <v>1036</v>
      </c>
      <c r="C217">
        <v>45869</v>
      </c>
      <c r="D217">
        <v>691620328.14999998</v>
      </c>
    </row>
    <row r="218" spans="1:4">
      <c r="A218" t="s">
        <v>818</v>
      </c>
      <c r="B218" t="s">
        <v>1037</v>
      </c>
      <c r="C218">
        <v>45496</v>
      </c>
      <c r="D218">
        <v>680631378.98000002</v>
      </c>
    </row>
    <row r="219" spans="1:4">
      <c r="A219" t="s">
        <v>818</v>
      </c>
      <c r="B219" t="s">
        <v>1038</v>
      </c>
      <c r="C219">
        <v>45050</v>
      </c>
      <c r="D219">
        <v>669633901.09000003</v>
      </c>
    </row>
    <row r="220" spans="1:4">
      <c r="A220" t="s">
        <v>818</v>
      </c>
      <c r="B220" t="s">
        <v>1039</v>
      </c>
      <c r="C220">
        <v>44642</v>
      </c>
      <c r="D220">
        <v>658644225.26999998</v>
      </c>
    </row>
    <row r="221" spans="1:4">
      <c r="A221" t="s">
        <v>818</v>
      </c>
      <c r="B221" t="s">
        <v>1040</v>
      </c>
      <c r="C221">
        <v>44280</v>
      </c>
      <c r="D221">
        <v>647653646.49000001</v>
      </c>
    </row>
    <row r="222" spans="1:4">
      <c r="A222" t="s">
        <v>818</v>
      </c>
      <c r="B222" t="s">
        <v>1041</v>
      </c>
      <c r="C222">
        <v>50335</v>
      </c>
      <c r="D222">
        <v>923827827.53999996</v>
      </c>
    </row>
    <row r="223" spans="1:4">
      <c r="A223" t="s">
        <v>818</v>
      </c>
      <c r="B223" t="s">
        <v>1042</v>
      </c>
      <c r="C223">
        <v>44102</v>
      </c>
      <c r="D223">
        <v>636655323.09000003</v>
      </c>
    </row>
    <row r="224" spans="1:4">
      <c r="A224" t="s">
        <v>818</v>
      </c>
      <c r="B224" t="s">
        <v>1043</v>
      </c>
      <c r="C224">
        <v>43998</v>
      </c>
      <c r="D224">
        <v>625616186.21000004</v>
      </c>
    </row>
    <row r="225" spans="1:4">
      <c r="A225" t="s">
        <v>818</v>
      </c>
      <c r="B225" t="s">
        <v>1044</v>
      </c>
      <c r="C225">
        <v>43895</v>
      </c>
      <c r="D225">
        <v>614519050.36000001</v>
      </c>
    </row>
    <row r="226" spans="1:4">
      <c r="A226" t="s">
        <v>818</v>
      </c>
      <c r="B226" t="s">
        <v>1045</v>
      </c>
      <c r="C226">
        <v>43783</v>
      </c>
      <c r="D226">
        <v>603365869.48000002</v>
      </c>
    </row>
    <row r="227" spans="1:4">
      <c r="A227" t="s">
        <v>818</v>
      </c>
      <c r="B227" t="s">
        <v>1046</v>
      </c>
      <c r="C227">
        <v>43686</v>
      </c>
      <c r="D227">
        <v>592160813.97000003</v>
      </c>
    </row>
    <row r="228" spans="1:4">
      <c r="A228" t="s">
        <v>818</v>
      </c>
      <c r="B228" t="s">
        <v>1047</v>
      </c>
      <c r="C228">
        <v>43433</v>
      </c>
      <c r="D228">
        <v>580901361.35000002</v>
      </c>
    </row>
    <row r="229" spans="1:4">
      <c r="A229" t="s">
        <v>818</v>
      </c>
      <c r="B229" t="s">
        <v>1048</v>
      </c>
      <c r="C229">
        <v>43121</v>
      </c>
      <c r="D229">
        <v>569613468.74000001</v>
      </c>
    </row>
    <row r="230" spans="1:4">
      <c r="A230" t="s">
        <v>818</v>
      </c>
      <c r="B230" t="s">
        <v>1049</v>
      </c>
      <c r="C230">
        <v>42783</v>
      </c>
      <c r="D230">
        <v>558308738.50999999</v>
      </c>
    </row>
    <row r="231" spans="1:4">
      <c r="A231" t="s">
        <v>818</v>
      </c>
      <c r="B231" t="s">
        <v>1050</v>
      </c>
      <c r="C231">
        <v>42352</v>
      </c>
      <c r="D231">
        <v>546989918.37</v>
      </c>
    </row>
    <row r="232" spans="1:4">
      <c r="A232" t="s">
        <v>818</v>
      </c>
      <c r="B232" t="s">
        <v>1051</v>
      </c>
      <c r="C232">
        <v>41842</v>
      </c>
      <c r="D232">
        <v>535678210.79000002</v>
      </c>
    </row>
    <row r="233" spans="1:4">
      <c r="A233" t="s">
        <v>818</v>
      </c>
      <c r="B233" t="s">
        <v>1052</v>
      </c>
      <c r="C233">
        <v>50115</v>
      </c>
      <c r="D233">
        <v>913632011.28999996</v>
      </c>
    </row>
    <row r="234" spans="1:4">
      <c r="A234" t="s">
        <v>818</v>
      </c>
      <c r="B234" t="s">
        <v>1053</v>
      </c>
      <c r="C234">
        <v>41343</v>
      </c>
      <c r="D234">
        <v>524396495.81</v>
      </c>
    </row>
    <row r="235" spans="1:4">
      <c r="A235" t="s">
        <v>818</v>
      </c>
      <c r="B235" t="s">
        <v>1054</v>
      </c>
      <c r="C235">
        <v>40934</v>
      </c>
      <c r="D235">
        <v>513140188.69</v>
      </c>
    </row>
    <row r="236" spans="1:4">
      <c r="A236" t="s">
        <v>818</v>
      </c>
      <c r="B236" t="s">
        <v>1055</v>
      </c>
      <c r="C236">
        <v>40740</v>
      </c>
      <c r="D236">
        <v>501888744.57999998</v>
      </c>
    </row>
    <row r="237" spans="1:4">
      <c r="A237" t="s">
        <v>818</v>
      </c>
      <c r="B237" t="s">
        <v>1056</v>
      </c>
      <c r="C237">
        <v>40595</v>
      </c>
      <c r="D237">
        <v>490606277.00999999</v>
      </c>
    </row>
    <row r="238" spans="1:4">
      <c r="A238" t="s">
        <v>818</v>
      </c>
      <c r="B238" t="s">
        <v>1057</v>
      </c>
      <c r="C238">
        <v>40461</v>
      </c>
      <c r="D238">
        <v>479272753.48000002</v>
      </c>
    </row>
    <row r="239" spans="1:4">
      <c r="A239" t="s">
        <v>818</v>
      </c>
      <c r="B239" t="s">
        <v>1058</v>
      </c>
      <c r="C239">
        <v>40335</v>
      </c>
      <c r="D239">
        <v>467890141.11000001</v>
      </c>
    </row>
    <row r="240" spans="1:4">
      <c r="A240" t="s">
        <v>818</v>
      </c>
      <c r="B240" t="s">
        <v>1059</v>
      </c>
      <c r="C240">
        <v>40222</v>
      </c>
      <c r="D240">
        <v>456456616.66000003</v>
      </c>
    </row>
    <row r="241" spans="1:4">
      <c r="A241" t="s">
        <v>818</v>
      </c>
      <c r="B241" t="s">
        <v>1060</v>
      </c>
      <c r="C241">
        <v>39935</v>
      </c>
      <c r="D241">
        <v>444970200.75999999</v>
      </c>
    </row>
    <row r="242" spans="1:4">
      <c r="A242" t="s">
        <v>818</v>
      </c>
      <c r="B242" t="s">
        <v>1061</v>
      </c>
      <c r="C242">
        <v>39588</v>
      </c>
      <c r="D242">
        <v>433480398.38</v>
      </c>
    </row>
    <row r="243" spans="1:4">
      <c r="A243" t="s">
        <v>818</v>
      </c>
      <c r="B243" t="s">
        <v>1062</v>
      </c>
      <c r="C243">
        <v>39152</v>
      </c>
      <c r="D243">
        <v>421995179.81</v>
      </c>
    </row>
    <row r="244" spans="1:4">
      <c r="A244" t="s">
        <v>818</v>
      </c>
      <c r="B244" t="s">
        <v>1063</v>
      </c>
      <c r="C244">
        <v>49744</v>
      </c>
      <c r="D244">
        <v>903415063.32000005</v>
      </c>
    </row>
    <row r="245" spans="1:4">
      <c r="A245" t="s">
        <v>818</v>
      </c>
      <c r="B245" t="s">
        <v>1064</v>
      </c>
      <c r="C245">
        <v>38673</v>
      </c>
      <c r="D245">
        <v>410534131.56999999</v>
      </c>
    </row>
    <row r="246" spans="1:4">
      <c r="A246" t="s">
        <v>818</v>
      </c>
      <c r="B246" t="s">
        <v>1065</v>
      </c>
      <c r="C246">
        <v>38129</v>
      </c>
      <c r="D246">
        <v>399108105.98000002</v>
      </c>
    </row>
    <row r="247" spans="1:4">
      <c r="A247" t="s">
        <v>818</v>
      </c>
      <c r="B247" t="s">
        <v>1066</v>
      </c>
      <c r="C247">
        <v>37617</v>
      </c>
      <c r="D247">
        <v>387739084.68000001</v>
      </c>
    </row>
    <row r="248" spans="1:4">
      <c r="A248" t="s">
        <v>818</v>
      </c>
      <c r="B248" t="s">
        <v>1067</v>
      </c>
      <c r="C248">
        <v>37122</v>
      </c>
      <c r="D248">
        <v>376408107.25</v>
      </c>
    </row>
    <row r="249" spans="1:4">
      <c r="A249" t="s">
        <v>818</v>
      </c>
      <c r="B249" t="s">
        <v>1068</v>
      </c>
      <c r="C249">
        <v>36904</v>
      </c>
      <c r="D249">
        <v>365111055.13999999</v>
      </c>
    </row>
    <row r="250" spans="1:4">
      <c r="A250" t="s">
        <v>818</v>
      </c>
      <c r="B250" t="s">
        <v>1069</v>
      </c>
      <c r="C250">
        <v>36719</v>
      </c>
      <c r="D250">
        <v>353791964.67000002</v>
      </c>
    </row>
    <row r="251" spans="1:4">
      <c r="A251" t="s">
        <v>818</v>
      </c>
      <c r="B251" t="s">
        <v>1070</v>
      </c>
      <c r="C251">
        <v>36571</v>
      </c>
      <c r="D251">
        <v>342437530.18000001</v>
      </c>
    </row>
    <row r="252" spans="1:4">
      <c r="A252" t="s">
        <v>818</v>
      </c>
      <c r="B252" t="s">
        <v>1071</v>
      </c>
      <c r="C252">
        <v>36414</v>
      </c>
      <c r="D252">
        <v>331038193.88</v>
      </c>
    </row>
    <row r="253" spans="1:4">
      <c r="A253" t="s">
        <v>818</v>
      </c>
      <c r="B253" t="s">
        <v>1072</v>
      </c>
      <c r="C253">
        <v>36263</v>
      </c>
      <c r="D253">
        <v>319602799.63</v>
      </c>
    </row>
    <row r="254" spans="1:4">
      <c r="A254" t="s">
        <v>818</v>
      </c>
      <c r="B254" t="s">
        <v>1073</v>
      </c>
      <c r="C254">
        <v>36019</v>
      </c>
      <c r="D254">
        <v>308129928.06999999</v>
      </c>
    </row>
    <row r="255" spans="1:4">
      <c r="A255" t="s">
        <v>818</v>
      </c>
      <c r="B255" t="s">
        <v>1074</v>
      </c>
      <c r="C255">
        <v>49578</v>
      </c>
      <c r="D255">
        <v>893188419.79999995</v>
      </c>
    </row>
    <row r="256" spans="1:4">
      <c r="A256" t="s">
        <v>818</v>
      </c>
      <c r="B256" t="s">
        <v>1075</v>
      </c>
      <c r="C256">
        <v>35697</v>
      </c>
      <c r="D256">
        <v>296638940.83999997</v>
      </c>
    </row>
    <row r="257" spans="1:4">
      <c r="A257" t="s">
        <v>818</v>
      </c>
      <c r="B257" t="s">
        <v>1076</v>
      </c>
      <c r="C257">
        <v>35362</v>
      </c>
      <c r="D257">
        <v>285156697.25999999</v>
      </c>
    </row>
    <row r="258" spans="1:4">
      <c r="A258" t="s">
        <v>818</v>
      </c>
      <c r="B258" t="s">
        <v>1077</v>
      </c>
      <c r="C258">
        <v>34970</v>
      </c>
      <c r="D258">
        <v>273680652.99000001</v>
      </c>
    </row>
    <row r="259" spans="1:4">
      <c r="A259" t="s">
        <v>818</v>
      </c>
      <c r="B259" t="s">
        <v>1078</v>
      </c>
      <c r="C259">
        <v>34532</v>
      </c>
      <c r="D259">
        <v>262226010.88999999</v>
      </c>
    </row>
    <row r="260" spans="1:4">
      <c r="A260" t="s">
        <v>818</v>
      </c>
      <c r="B260" t="s">
        <v>1079</v>
      </c>
      <c r="C260">
        <v>34079</v>
      </c>
      <c r="D260">
        <v>250812582.71000001</v>
      </c>
    </row>
    <row r="261" spans="1:4">
      <c r="A261" t="s">
        <v>818</v>
      </c>
      <c r="B261" t="s">
        <v>1080</v>
      </c>
      <c r="C261">
        <v>33693</v>
      </c>
      <c r="D261">
        <v>239451908.16999999</v>
      </c>
    </row>
    <row r="262" spans="1:4">
      <c r="A262" t="s">
        <v>818</v>
      </c>
      <c r="B262" t="s">
        <v>1081</v>
      </c>
      <c r="C262">
        <v>33455</v>
      </c>
      <c r="D262">
        <v>228113047.61000001</v>
      </c>
    </row>
    <row r="263" spans="1:4">
      <c r="A263" t="s">
        <v>818</v>
      </c>
      <c r="B263" t="s">
        <v>1082</v>
      </c>
      <c r="C263">
        <v>33231</v>
      </c>
      <c r="D263">
        <v>216764051.62</v>
      </c>
    </row>
    <row r="264" spans="1:4">
      <c r="A264" t="s">
        <v>818</v>
      </c>
      <c r="B264" t="s">
        <v>1083</v>
      </c>
      <c r="C264">
        <v>33055</v>
      </c>
      <c r="D264">
        <v>205411187.16</v>
      </c>
    </row>
    <row r="265" spans="1:4">
      <c r="A265" t="s">
        <v>818</v>
      </c>
      <c r="B265" t="s">
        <v>1084</v>
      </c>
      <c r="C265">
        <v>32860</v>
      </c>
      <c r="D265">
        <v>194040951.03999999</v>
      </c>
    </row>
    <row r="266" spans="1:4">
      <c r="A266" t="s">
        <v>818</v>
      </c>
      <c r="B266" t="s">
        <v>1085</v>
      </c>
      <c r="C266">
        <v>49437</v>
      </c>
      <c r="D266">
        <v>882919622.03999996</v>
      </c>
    </row>
    <row r="267" spans="1:4">
      <c r="A267" t="s">
        <v>818</v>
      </c>
      <c r="B267" t="s">
        <v>1086</v>
      </c>
      <c r="C267">
        <v>32678</v>
      </c>
      <c r="D267">
        <v>182653342.47999999</v>
      </c>
    </row>
    <row r="268" spans="1:4">
      <c r="A268" t="s">
        <v>818</v>
      </c>
      <c r="B268" t="s">
        <v>1087</v>
      </c>
      <c r="C268">
        <v>32277</v>
      </c>
      <c r="D268">
        <v>171249690.99000001</v>
      </c>
    </row>
    <row r="269" spans="1:4">
      <c r="A269" t="s">
        <v>818</v>
      </c>
      <c r="B269" t="s">
        <v>1088</v>
      </c>
      <c r="C269">
        <v>31745</v>
      </c>
      <c r="D269">
        <v>159888700.34999999</v>
      </c>
    </row>
    <row r="270" spans="1:4">
      <c r="A270" t="s">
        <v>818</v>
      </c>
      <c r="B270" t="s">
        <v>1089</v>
      </c>
      <c r="C270">
        <v>31114</v>
      </c>
      <c r="D270">
        <v>148604053.22</v>
      </c>
    </row>
    <row r="271" spans="1:4">
      <c r="A271" t="s">
        <v>818</v>
      </c>
      <c r="B271" t="s">
        <v>1090</v>
      </c>
      <c r="C271">
        <v>30360</v>
      </c>
      <c r="D271">
        <v>137432577.69999999</v>
      </c>
    </row>
    <row r="272" spans="1:4">
      <c r="A272" t="s">
        <v>818</v>
      </c>
      <c r="B272" t="s">
        <v>1091</v>
      </c>
      <c r="C272">
        <v>29490</v>
      </c>
      <c r="D272">
        <v>126411956.63</v>
      </c>
    </row>
    <row r="273" spans="1:4">
      <c r="A273" t="s">
        <v>818</v>
      </c>
      <c r="B273" t="s">
        <v>1092</v>
      </c>
      <c r="C273">
        <v>28774</v>
      </c>
      <c r="D273">
        <v>115583294.16</v>
      </c>
    </row>
    <row r="274" spans="1:4">
      <c r="A274" t="s">
        <v>818</v>
      </c>
      <c r="B274" t="s">
        <v>1093</v>
      </c>
      <c r="C274">
        <v>28141</v>
      </c>
      <c r="D274">
        <v>104909715.77</v>
      </c>
    </row>
    <row r="275" spans="1:4">
      <c r="A275" t="s">
        <v>818</v>
      </c>
      <c r="B275" t="s">
        <v>1094</v>
      </c>
      <c r="C275">
        <v>27753</v>
      </c>
      <c r="D275">
        <v>94364006.450000003</v>
      </c>
    </row>
    <row r="276" spans="1:4">
      <c r="A276" t="s">
        <v>818</v>
      </c>
      <c r="B276" t="s">
        <v>1095</v>
      </c>
      <c r="C276">
        <v>27421</v>
      </c>
      <c r="D276">
        <v>83890119.689999998</v>
      </c>
    </row>
    <row r="277" spans="1:4">
      <c r="A277" t="s">
        <v>818</v>
      </c>
      <c r="B277" t="s">
        <v>1096</v>
      </c>
      <c r="C277">
        <v>49330</v>
      </c>
      <c r="D277">
        <v>872607934.41999996</v>
      </c>
    </row>
    <row r="278" spans="1:4">
      <c r="A278" t="s">
        <v>818</v>
      </c>
      <c r="B278" t="s">
        <v>1097</v>
      </c>
      <c r="C278">
        <v>27194</v>
      </c>
      <c r="D278">
        <v>73471801.469999999</v>
      </c>
    </row>
    <row r="279" spans="1:4">
      <c r="A279" t="s">
        <v>818</v>
      </c>
      <c r="B279" t="s">
        <v>1098</v>
      </c>
      <c r="C279">
        <v>26861</v>
      </c>
      <c r="D279">
        <v>63074153.530000001</v>
      </c>
    </row>
    <row r="280" spans="1:4">
      <c r="A280" t="s">
        <v>818</v>
      </c>
      <c r="B280" t="s">
        <v>1099</v>
      </c>
      <c r="C280">
        <v>26489</v>
      </c>
      <c r="D280">
        <v>52738844.030000001</v>
      </c>
    </row>
    <row r="281" spans="1:4">
      <c r="A281" t="s">
        <v>818</v>
      </c>
      <c r="B281" t="s">
        <v>1100</v>
      </c>
      <c r="C281">
        <v>24664</v>
      </c>
      <c r="D281">
        <v>42486824.960000001</v>
      </c>
    </row>
    <row r="282" spans="1:4">
      <c r="A282" t="s">
        <v>818</v>
      </c>
      <c r="B282" t="s">
        <v>1101</v>
      </c>
      <c r="C282">
        <v>22236</v>
      </c>
      <c r="D282">
        <v>32936780.219999999</v>
      </c>
    </row>
    <row r="283" spans="1:4">
      <c r="A283" t="s">
        <v>818</v>
      </c>
      <c r="B283" t="s">
        <v>1102</v>
      </c>
      <c r="C283">
        <v>19428</v>
      </c>
      <c r="D283">
        <v>24322150.18</v>
      </c>
    </row>
    <row r="284" spans="1:4">
      <c r="A284" t="s">
        <v>818</v>
      </c>
      <c r="B284" t="s">
        <v>1103</v>
      </c>
      <c r="C284">
        <v>15585</v>
      </c>
      <c r="D284">
        <v>16783296.16</v>
      </c>
    </row>
    <row r="285" spans="1:4">
      <c r="A285" t="s">
        <v>818</v>
      </c>
      <c r="B285" t="s">
        <v>1104</v>
      </c>
      <c r="C285">
        <v>11165</v>
      </c>
      <c r="D285">
        <v>10747890.59</v>
      </c>
    </row>
    <row r="286" spans="1:4">
      <c r="A286" t="s">
        <v>818</v>
      </c>
      <c r="B286" t="s">
        <v>1105</v>
      </c>
      <c r="C286">
        <v>7131</v>
      </c>
      <c r="D286">
        <v>6481499.6399999997</v>
      </c>
    </row>
    <row r="287" spans="1:4">
      <c r="A287" t="s">
        <v>818</v>
      </c>
      <c r="B287" t="s">
        <v>1106</v>
      </c>
      <c r="C287">
        <v>4077</v>
      </c>
      <c r="D287">
        <v>3849853.61</v>
      </c>
    </row>
    <row r="288" spans="1:4">
      <c r="A288" t="s">
        <v>818</v>
      </c>
      <c r="B288" t="s">
        <v>1107</v>
      </c>
      <c r="C288">
        <v>49198</v>
      </c>
      <c r="D288">
        <v>862242638.62</v>
      </c>
    </row>
    <row r="289" spans="1:4">
      <c r="A289" t="s">
        <v>818</v>
      </c>
      <c r="B289" t="s">
        <v>1108</v>
      </c>
      <c r="C289">
        <v>2797</v>
      </c>
      <c r="D289">
        <v>2359043.13</v>
      </c>
    </row>
    <row r="290" spans="1:4">
      <c r="A290" t="s">
        <v>818</v>
      </c>
      <c r="B290" t="s">
        <v>1109</v>
      </c>
      <c r="C290">
        <v>1818</v>
      </c>
      <c r="D290">
        <v>1349347.1</v>
      </c>
    </row>
    <row r="291" spans="1:4">
      <c r="A291" t="s">
        <v>818</v>
      </c>
      <c r="B291" t="s">
        <v>1110</v>
      </c>
      <c r="C291">
        <v>1250</v>
      </c>
      <c r="D291">
        <v>716943.4</v>
      </c>
    </row>
    <row r="292" spans="1:4">
      <c r="A292" t="s">
        <v>818</v>
      </c>
      <c r="B292" t="s">
        <v>1111</v>
      </c>
      <c r="C292">
        <v>540</v>
      </c>
      <c r="D292">
        <v>290754.75</v>
      </c>
    </row>
    <row r="293" spans="1:4">
      <c r="A293" t="s">
        <v>818</v>
      </c>
      <c r="B293" t="s">
        <v>1112</v>
      </c>
      <c r="C293">
        <v>156</v>
      </c>
      <c r="D293">
        <v>103015.21</v>
      </c>
    </row>
    <row r="294" spans="1:4">
      <c r="A294" t="s">
        <v>818</v>
      </c>
      <c r="B294" t="s">
        <v>1113</v>
      </c>
      <c r="C294">
        <v>71</v>
      </c>
      <c r="D294">
        <v>42627.82</v>
      </c>
    </row>
    <row r="295" spans="1:4">
      <c r="A295" t="s">
        <v>818</v>
      </c>
      <c r="B295" t="s">
        <v>1114</v>
      </c>
      <c r="C295">
        <v>35</v>
      </c>
      <c r="D295">
        <v>19131.14</v>
      </c>
    </row>
    <row r="296" spans="1:4">
      <c r="A296" t="s">
        <v>818</v>
      </c>
      <c r="B296" t="s">
        <v>1115</v>
      </c>
      <c r="C296">
        <v>16</v>
      </c>
      <c r="D296">
        <v>9167.35</v>
      </c>
    </row>
    <row r="297" spans="1:4">
      <c r="A297" t="s">
        <v>818</v>
      </c>
      <c r="B297" t="s">
        <v>1116</v>
      </c>
      <c r="C297">
        <v>10</v>
      </c>
      <c r="D297">
        <v>4733.29</v>
      </c>
    </row>
    <row r="298" spans="1:4">
      <c r="A298" t="s">
        <v>818</v>
      </c>
      <c r="B298" t="s">
        <v>1117</v>
      </c>
      <c r="C298">
        <v>5</v>
      </c>
      <c r="D298">
        <v>2098.86</v>
      </c>
    </row>
    <row r="299" spans="1:4">
      <c r="A299" t="s">
        <v>818</v>
      </c>
      <c r="B299" t="s">
        <v>1118</v>
      </c>
      <c r="C299">
        <v>1473</v>
      </c>
      <c r="D299">
        <v>935665.95000000275</v>
      </c>
    </row>
    <row r="300" spans="1:4">
      <c r="A300" t="s">
        <v>818</v>
      </c>
      <c r="B300" t="s">
        <v>1119</v>
      </c>
      <c r="C300">
        <v>1337</v>
      </c>
      <c r="D300">
        <v>2779893.4099999983</v>
      </c>
    </row>
    <row r="301" spans="1:4">
      <c r="A301" t="s">
        <v>818</v>
      </c>
      <c r="B301" t="s">
        <v>1120</v>
      </c>
      <c r="C301">
        <v>1412</v>
      </c>
      <c r="D301">
        <v>4469381.7200000072</v>
      </c>
    </row>
    <row r="302" spans="1:4">
      <c r="A302" t="s">
        <v>818</v>
      </c>
      <c r="B302" t="s">
        <v>1121</v>
      </c>
      <c r="C302">
        <v>2054</v>
      </c>
      <c r="D302">
        <v>9448004.8399999961</v>
      </c>
    </row>
    <row r="303" spans="1:4">
      <c r="A303" t="s">
        <v>818</v>
      </c>
      <c r="B303" t="s">
        <v>1122</v>
      </c>
      <c r="C303">
        <v>1210</v>
      </c>
      <c r="D303">
        <v>7752837.6200000169</v>
      </c>
    </row>
    <row r="304" spans="1:4">
      <c r="A304" t="s">
        <v>818</v>
      </c>
      <c r="B304" t="s">
        <v>1123</v>
      </c>
      <c r="C304">
        <v>2694</v>
      </c>
      <c r="D304">
        <v>19606784.330000035</v>
      </c>
    </row>
    <row r="305" spans="1:4">
      <c r="A305" t="s">
        <v>818</v>
      </c>
      <c r="B305" t="s">
        <v>1124</v>
      </c>
      <c r="C305">
        <v>1589</v>
      </c>
      <c r="D305">
        <v>16295226.079999996</v>
      </c>
    </row>
    <row r="306" spans="1:4">
      <c r="A306" t="s">
        <v>818</v>
      </c>
      <c r="B306" t="s">
        <v>1125</v>
      </c>
      <c r="C306">
        <v>2582</v>
      </c>
      <c r="D306">
        <v>27984565.080000006</v>
      </c>
    </row>
    <row r="307" spans="1:4">
      <c r="A307" t="s">
        <v>818</v>
      </c>
      <c r="B307" t="s">
        <v>1126</v>
      </c>
      <c r="C307">
        <v>2042</v>
      </c>
      <c r="D307">
        <v>28513946.110000018</v>
      </c>
    </row>
    <row r="308" spans="1:4">
      <c r="A308" t="s">
        <v>818</v>
      </c>
      <c r="B308" t="s">
        <v>1127</v>
      </c>
      <c r="C308">
        <v>1855</v>
      </c>
      <c r="D308">
        <v>31692167.279999994</v>
      </c>
    </row>
    <row r="309" spans="1:4">
      <c r="A309" t="s">
        <v>818</v>
      </c>
      <c r="B309" t="s">
        <v>1128</v>
      </c>
      <c r="C309">
        <v>4541</v>
      </c>
      <c r="D309">
        <v>82117122.229999781</v>
      </c>
    </row>
    <row r="310" spans="1:4">
      <c r="A310" t="s">
        <v>818</v>
      </c>
      <c r="B310" t="s">
        <v>1129</v>
      </c>
      <c r="C310">
        <v>5908</v>
      </c>
      <c r="D310">
        <v>151236376.50000006</v>
      </c>
    </row>
    <row r="311" spans="1:4">
      <c r="A311" t="s">
        <v>818</v>
      </c>
      <c r="B311" t="s">
        <v>1130</v>
      </c>
      <c r="C311">
        <v>20434</v>
      </c>
      <c r="D311">
        <v>519726658.78000003</v>
      </c>
    </row>
    <row r="312" spans="1:4">
      <c r="A312" t="s">
        <v>818</v>
      </c>
      <c r="B312" t="s">
        <v>1131</v>
      </c>
      <c r="C312">
        <v>1813</v>
      </c>
      <c r="D312">
        <v>41374519.519999959</v>
      </c>
    </row>
    <row r="313" spans="1:4">
      <c r="A313" t="s">
        <v>818</v>
      </c>
      <c r="B313" t="s">
        <v>1132</v>
      </c>
      <c r="C313">
        <v>10</v>
      </c>
      <c r="D313">
        <v>173117.94</v>
      </c>
    </row>
    <row r="314" spans="1:4">
      <c r="A314" t="s">
        <v>818</v>
      </c>
      <c r="B314" t="s">
        <v>1133</v>
      </c>
      <c r="C314">
        <v>50954</v>
      </c>
      <c r="D314">
        <v>78.798028979951184</v>
      </c>
    </row>
    <row r="315" spans="1:4">
      <c r="A315" t="s">
        <v>969</v>
      </c>
      <c r="B315" t="s">
        <v>1134</v>
      </c>
      <c r="C315">
        <v>0</v>
      </c>
      <c r="D315">
        <v>0</v>
      </c>
    </row>
    <row r="316" spans="1:4">
      <c r="A316" t="s">
        <v>818</v>
      </c>
      <c r="B316" t="s">
        <v>1135</v>
      </c>
      <c r="C316">
        <v>1205</v>
      </c>
      <c r="D316">
        <v>16673821.819999993</v>
      </c>
    </row>
    <row r="317" spans="1:4">
      <c r="A317" t="s">
        <v>818</v>
      </c>
      <c r="B317" t="s">
        <v>1136</v>
      </c>
      <c r="C317">
        <v>3833</v>
      </c>
      <c r="D317">
        <v>61354669.910000071</v>
      </c>
    </row>
    <row r="318" spans="1:4">
      <c r="A318" t="s">
        <v>818</v>
      </c>
      <c r="B318" t="s">
        <v>1137</v>
      </c>
      <c r="C318">
        <v>21308</v>
      </c>
      <c r="D318">
        <v>398633864.06000048</v>
      </c>
    </row>
    <row r="319" spans="1:4">
      <c r="A319" t="s">
        <v>818</v>
      </c>
      <c r="B319" t="s">
        <v>1138</v>
      </c>
      <c r="C319">
        <v>16940</v>
      </c>
      <c r="D319">
        <v>324582045.09999967</v>
      </c>
    </row>
    <row r="320" spans="1:4">
      <c r="A320" t="s">
        <v>818</v>
      </c>
      <c r="B320" t="s">
        <v>1139</v>
      </c>
      <c r="C320">
        <v>4235</v>
      </c>
      <c r="D320">
        <v>86294903.519999862</v>
      </c>
    </row>
    <row r="321" spans="1:4">
      <c r="A321" t="s">
        <v>818</v>
      </c>
      <c r="B321" t="s">
        <v>1140</v>
      </c>
      <c r="C321">
        <v>687</v>
      </c>
      <c r="D321">
        <v>11960354.470000008</v>
      </c>
    </row>
    <row r="322" spans="1:4">
      <c r="A322" t="s">
        <v>818</v>
      </c>
      <c r="B322" t="s">
        <v>1141</v>
      </c>
      <c r="C322">
        <v>1007</v>
      </c>
      <c r="D322">
        <v>17618287.860000003</v>
      </c>
    </row>
    <row r="323" spans="1:4">
      <c r="A323" t="s">
        <v>818</v>
      </c>
      <c r="B323" t="s">
        <v>1142</v>
      </c>
      <c r="C323">
        <v>598</v>
      </c>
      <c r="D323">
        <v>11365151.169999994</v>
      </c>
    </row>
    <row r="324" spans="1:4">
      <c r="A324" t="s">
        <v>818</v>
      </c>
      <c r="B324" t="s">
        <v>1143</v>
      </c>
      <c r="C324">
        <v>325</v>
      </c>
      <c r="D324">
        <v>5517576.049999997</v>
      </c>
    </row>
    <row r="325" spans="1:4">
      <c r="A325" t="s">
        <v>818</v>
      </c>
      <c r="B325" t="s">
        <v>1144</v>
      </c>
      <c r="C325">
        <v>173</v>
      </c>
      <c r="D325">
        <v>2790136.9000000004</v>
      </c>
    </row>
    <row r="326" spans="1:4">
      <c r="A326" t="s">
        <v>818</v>
      </c>
      <c r="B326" t="s">
        <v>1145</v>
      </c>
      <c r="C326">
        <v>184</v>
      </c>
      <c r="D326">
        <v>2442933.620000001</v>
      </c>
    </row>
    <row r="327" spans="1:4">
      <c r="A327" t="s">
        <v>818</v>
      </c>
      <c r="B327" t="s">
        <v>1146</v>
      </c>
      <c r="C327">
        <v>136</v>
      </c>
      <c r="D327">
        <v>1767909.95</v>
      </c>
    </row>
    <row r="328" spans="1:4">
      <c r="A328" t="s">
        <v>818</v>
      </c>
      <c r="B328" t="s">
        <v>1147</v>
      </c>
      <c r="C328">
        <v>98</v>
      </c>
      <c r="D328">
        <v>1251803.03</v>
      </c>
    </row>
    <row r="329" spans="1:4">
      <c r="A329" t="s">
        <v>818</v>
      </c>
      <c r="B329" t="s">
        <v>1148</v>
      </c>
      <c r="C329">
        <v>51</v>
      </c>
      <c r="D329">
        <v>596914.92999999993</v>
      </c>
    </row>
    <row r="330" spans="1:4">
      <c r="A330" t="s">
        <v>818</v>
      </c>
      <c r="B330" t="s">
        <v>1149</v>
      </c>
      <c r="C330">
        <v>38</v>
      </c>
      <c r="D330">
        <v>329513.78000000003</v>
      </c>
    </row>
    <row r="331" spans="1:4">
      <c r="A331" t="s">
        <v>818</v>
      </c>
      <c r="B331" t="s">
        <v>1150</v>
      </c>
      <c r="C331">
        <v>21</v>
      </c>
      <c r="D331">
        <v>178220.85000000003</v>
      </c>
    </row>
    <row r="332" spans="1:4">
      <c r="A332" t="s">
        <v>818</v>
      </c>
      <c r="B332" t="s">
        <v>1151</v>
      </c>
      <c r="C332">
        <v>30</v>
      </c>
      <c r="D332">
        <v>229811.72999999998</v>
      </c>
    </row>
    <row r="333" spans="1:4">
      <c r="A333" t="s">
        <v>818</v>
      </c>
      <c r="B333" t="s">
        <v>1152</v>
      </c>
      <c r="C333">
        <v>25</v>
      </c>
      <c r="D333">
        <v>218731.37999999998</v>
      </c>
    </row>
    <row r="334" spans="1:4">
      <c r="A334" t="s">
        <v>818</v>
      </c>
      <c r="B334" t="s">
        <v>1153</v>
      </c>
      <c r="C334">
        <v>15</v>
      </c>
      <c r="D334">
        <v>98523.34</v>
      </c>
    </row>
    <row r="335" spans="1:4">
      <c r="A335" t="s">
        <v>818</v>
      </c>
      <c r="B335" t="s">
        <v>1154</v>
      </c>
      <c r="C335">
        <v>6</v>
      </c>
      <c r="D335">
        <v>14742.35</v>
      </c>
    </row>
    <row r="336" spans="1:4">
      <c r="A336" t="s">
        <v>818</v>
      </c>
      <c r="B336" t="s">
        <v>1155</v>
      </c>
      <c r="C336">
        <v>9</v>
      </c>
      <c r="D336">
        <v>80516.37</v>
      </c>
    </row>
    <row r="337" spans="1:4">
      <c r="A337" t="s">
        <v>818</v>
      </c>
      <c r="B337" t="s">
        <v>1156</v>
      </c>
      <c r="C337">
        <v>6</v>
      </c>
      <c r="D337">
        <v>20056.649999999998</v>
      </c>
    </row>
    <row r="338" spans="1:4">
      <c r="A338" t="s">
        <v>818</v>
      </c>
      <c r="B338" t="s">
        <v>1157</v>
      </c>
      <c r="C338">
        <v>7</v>
      </c>
      <c r="D338">
        <v>29015.54</v>
      </c>
    </row>
    <row r="339" spans="1:4">
      <c r="A339" t="s">
        <v>818</v>
      </c>
      <c r="B339" t="s">
        <v>1158</v>
      </c>
      <c r="C339">
        <v>3</v>
      </c>
      <c r="D339">
        <v>3637.04</v>
      </c>
    </row>
    <row r="340" spans="1:4">
      <c r="A340" t="s">
        <v>818</v>
      </c>
      <c r="B340" t="s">
        <v>1159</v>
      </c>
      <c r="C340">
        <v>4</v>
      </c>
      <c r="D340">
        <v>27983.360000000001</v>
      </c>
    </row>
    <row r="341" spans="1:4">
      <c r="A341" t="s">
        <v>818</v>
      </c>
      <c r="B341" t="s">
        <v>1160</v>
      </c>
      <c r="C341">
        <v>2</v>
      </c>
      <c r="D341">
        <v>6049.6299999999992</v>
      </c>
    </row>
    <row r="342" spans="1:4">
      <c r="A342" t="s">
        <v>818</v>
      </c>
      <c r="B342" t="s">
        <v>1161</v>
      </c>
      <c r="C342">
        <v>8</v>
      </c>
      <c r="D342">
        <v>19092.98</v>
      </c>
    </row>
    <row r="343" spans="1:4">
      <c r="A343" t="s">
        <v>818</v>
      </c>
      <c r="B343" t="s">
        <v>1162</v>
      </c>
      <c r="C343">
        <v>50954</v>
      </c>
      <c r="D343">
        <v>12.211923367433165</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2"/>
  <sheetViews>
    <sheetView topLeftCell="A191" workbookViewId="0">
      <selection activeCell="C226" sqref="C226"/>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1163</v>
      </c>
      <c r="B1" t="s">
        <v>1164</v>
      </c>
      <c r="C1" t="s">
        <v>1165</v>
      </c>
      <c r="D1" t="s">
        <v>1166</v>
      </c>
      <c r="E1" t="s">
        <v>1167</v>
      </c>
      <c r="F1" t="s">
        <v>1168</v>
      </c>
      <c r="G1" t="s">
        <v>1169</v>
      </c>
      <c r="H1" t="s">
        <v>1170</v>
      </c>
    </row>
    <row r="2" spans="1:8">
      <c r="A2">
        <v>48</v>
      </c>
      <c r="B2" t="s">
        <v>1171</v>
      </c>
      <c r="D2" s="854">
        <v>45845</v>
      </c>
      <c r="E2" t="s">
        <v>1172</v>
      </c>
      <c r="F2" t="s">
        <v>1172</v>
      </c>
      <c r="G2" t="s">
        <v>1172</v>
      </c>
      <c r="H2" t="s">
        <v>1172</v>
      </c>
    </row>
    <row r="3" spans="1:8">
      <c r="A3">
        <v>48</v>
      </c>
      <c r="B3" t="s">
        <v>1173</v>
      </c>
      <c r="D3" s="854">
        <v>45848</v>
      </c>
      <c r="E3" t="s">
        <v>1172</v>
      </c>
      <c r="F3" t="s">
        <v>1172</v>
      </c>
      <c r="G3" t="s">
        <v>1172</v>
      </c>
      <c r="H3" t="s">
        <v>1172</v>
      </c>
    </row>
    <row r="4" spans="1:8">
      <c r="A4">
        <v>48</v>
      </c>
      <c r="B4" t="s">
        <v>1174</v>
      </c>
      <c r="D4" s="854">
        <v>45852</v>
      </c>
      <c r="E4" t="s">
        <v>1172</v>
      </c>
      <c r="F4" t="s">
        <v>1172</v>
      </c>
      <c r="G4" t="s">
        <v>1172</v>
      </c>
      <c r="H4" t="s">
        <v>1172</v>
      </c>
    </row>
    <row r="5" spans="1:8">
      <c r="A5">
        <v>48</v>
      </c>
      <c r="B5" t="s">
        <v>1175</v>
      </c>
      <c r="C5" s="446">
        <v>8</v>
      </c>
      <c r="E5" t="s">
        <v>1172</v>
      </c>
      <c r="F5" t="s">
        <v>1172</v>
      </c>
      <c r="G5" t="s">
        <v>1172</v>
      </c>
      <c r="H5" t="s">
        <v>1172</v>
      </c>
    </row>
    <row r="6" spans="1:8">
      <c r="A6">
        <v>48</v>
      </c>
      <c r="B6" t="s">
        <v>1176</v>
      </c>
      <c r="D6" s="854">
        <v>45852</v>
      </c>
      <c r="E6" t="s">
        <v>1172</v>
      </c>
      <c r="F6" t="s">
        <v>1172</v>
      </c>
      <c r="G6" t="s">
        <v>1172</v>
      </c>
      <c r="H6" t="s">
        <v>1172</v>
      </c>
    </row>
    <row r="7" spans="1:8">
      <c r="A7">
        <v>48</v>
      </c>
      <c r="B7" t="s">
        <v>1177</v>
      </c>
      <c r="D7" s="854">
        <v>45824</v>
      </c>
      <c r="E7" t="s">
        <v>1172</v>
      </c>
      <c r="F7" t="s">
        <v>1172</v>
      </c>
      <c r="G7" t="s">
        <v>1172</v>
      </c>
      <c r="H7" t="s">
        <v>1172</v>
      </c>
    </row>
    <row r="8" spans="1:8">
      <c r="A8">
        <v>48</v>
      </c>
      <c r="B8" t="s">
        <v>1178</v>
      </c>
      <c r="C8" s="446">
        <v>971524220.40999997</v>
      </c>
      <c r="E8" t="s">
        <v>1172</v>
      </c>
      <c r="F8" t="s">
        <v>1172</v>
      </c>
      <c r="G8" t="s">
        <v>1172</v>
      </c>
      <c r="H8" t="s">
        <v>1172</v>
      </c>
    </row>
    <row r="9" spans="1:8">
      <c r="A9">
        <v>48</v>
      </c>
      <c r="B9" t="s">
        <v>1179</v>
      </c>
      <c r="C9" s="446">
        <v>999999978.38</v>
      </c>
      <c r="E9" t="s">
        <v>1172</v>
      </c>
      <c r="F9" t="s">
        <v>1172</v>
      </c>
      <c r="G9" t="s">
        <v>1172</v>
      </c>
      <c r="H9" t="s">
        <v>1172</v>
      </c>
    </row>
    <row r="10" spans="1:8">
      <c r="A10">
        <v>48</v>
      </c>
      <c r="B10" t="s">
        <v>1180</v>
      </c>
      <c r="C10" s="446">
        <v>25704819.489999998</v>
      </c>
      <c r="E10" t="s">
        <v>1172</v>
      </c>
      <c r="F10" t="s">
        <v>1172</v>
      </c>
      <c r="G10" t="s">
        <v>1172</v>
      </c>
      <c r="H10" t="s">
        <v>1172</v>
      </c>
    </row>
    <row r="11" spans="1:8">
      <c r="A11">
        <v>48</v>
      </c>
      <c r="B11" t="s">
        <v>1181</v>
      </c>
      <c r="C11" s="446">
        <v>25305617.719999999</v>
      </c>
      <c r="E11" t="s">
        <v>1172</v>
      </c>
      <c r="F11" t="s">
        <v>1172</v>
      </c>
      <c r="G11" t="s">
        <v>1172</v>
      </c>
      <c r="H11" t="s">
        <v>1172</v>
      </c>
    </row>
    <row r="12" spans="1:8">
      <c r="A12">
        <v>48</v>
      </c>
      <c r="B12" t="s">
        <v>1182</v>
      </c>
      <c r="C12" s="446">
        <v>6899913.2800000003</v>
      </c>
      <c r="E12" t="s">
        <v>1172</v>
      </c>
      <c r="F12" t="s">
        <v>1172</v>
      </c>
      <c r="G12" t="s">
        <v>1172</v>
      </c>
      <c r="H12" t="s">
        <v>1172</v>
      </c>
    </row>
    <row r="13" spans="1:8">
      <c r="A13">
        <v>48</v>
      </c>
      <c r="B13" t="s">
        <v>1183</v>
      </c>
      <c r="C13" s="446">
        <v>7106081.9900000002</v>
      </c>
      <c r="E13" t="s">
        <v>1172</v>
      </c>
      <c r="F13" t="s">
        <v>1172</v>
      </c>
      <c r="G13" t="s">
        <v>1172</v>
      </c>
      <c r="H13" t="s">
        <v>1172</v>
      </c>
    </row>
    <row r="14" spans="1:8">
      <c r="A14">
        <v>48</v>
      </c>
      <c r="B14" t="s">
        <v>1184</v>
      </c>
      <c r="C14" s="446">
        <v>1713133.53</v>
      </c>
      <c r="E14" t="s">
        <v>1172</v>
      </c>
      <c r="F14" t="s">
        <v>1172</v>
      </c>
      <c r="G14" t="s">
        <v>1172</v>
      </c>
      <c r="H14" t="s">
        <v>1172</v>
      </c>
    </row>
    <row r="15" spans="1:8">
      <c r="A15">
        <v>48</v>
      </c>
      <c r="B15" t="s">
        <v>1185</v>
      </c>
      <c r="C15" s="446">
        <v>3170140.25</v>
      </c>
      <c r="E15" t="s">
        <v>1172</v>
      </c>
      <c r="F15" t="s">
        <v>1172</v>
      </c>
      <c r="G15" t="s">
        <v>1172</v>
      </c>
      <c r="H15" t="s">
        <v>1172</v>
      </c>
    </row>
    <row r="16" spans="1:8">
      <c r="A16">
        <v>48</v>
      </c>
      <c r="B16" t="s">
        <v>1186</v>
      </c>
      <c r="C16" s="446">
        <v>0</v>
      </c>
      <c r="E16" t="s">
        <v>1172</v>
      </c>
      <c r="F16" t="s">
        <v>1172</v>
      </c>
      <c r="G16" t="s">
        <v>1172</v>
      </c>
      <c r="H16" t="s">
        <v>1172</v>
      </c>
    </row>
    <row r="17" spans="1:8">
      <c r="A17">
        <v>48</v>
      </c>
      <c r="B17" t="s">
        <v>1187</v>
      </c>
      <c r="C17" s="446">
        <v>0</v>
      </c>
      <c r="E17" t="s">
        <v>1172</v>
      </c>
      <c r="F17" t="s">
        <v>1172</v>
      </c>
      <c r="G17" t="s">
        <v>1172</v>
      </c>
      <c r="H17" t="s">
        <v>1172</v>
      </c>
    </row>
    <row r="18" spans="1:8">
      <c r="A18">
        <v>48</v>
      </c>
      <c r="B18" t="s">
        <v>1188</v>
      </c>
      <c r="C18" s="446">
        <v>944106267.38999999</v>
      </c>
      <c r="E18" t="s">
        <v>1172</v>
      </c>
      <c r="F18" t="s">
        <v>1172</v>
      </c>
      <c r="G18" t="s">
        <v>1172</v>
      </c>
      <c r="H18" t="s">
        <v>1172</v>
      </c>
    </row>
    <row r="19" spans="1:8">
      <c r="A19">
        <v>48</v>
      </c>
      <c r="B19" t="s">
        <v>1189</v>
      </c>
      <c r="C19" s="446">
        <v>971524220.40999997</v>
      </c>
      <c r="E19" t="s">
        <v>1172</v>
      </c>
      <c r="F19" t="s">
        <v>1172</v>
      </c>
      <c r="G19" t="s">
        <v>1172</v>
      </c>
      <c r="H19" t="s">
        <v>1172</v>
      </c>
    </row>
    <row r="20" spans="1:8">
      <c r="A20">
        <v>48</v>
      </c>
      <c r="B20" t="s">
        <v>1190</v>
      </c>
      <c r="C20" s="446">
        <v>7.86</v>
      </c>
      <c r="E20" t="s">
        <v>1172</v>
      </c>
      <c r="F20" t="s">
        <v>1172</v>
      </c>
      <c r="G20" t="s">
        <v>1172</v>
      </c>
      <c r="H20" t="s">
        <v>1172</v>
      </c>
    </row>
    <row r="21" spans="1:8">
      <c r="A21">
        <v>48</v>
      </c>
      <c r="B21" t="s">
        <v>1191</v>
      </c>
      <c r="C21" s="446">
        <v>37.840000000000003</v>
      </c>
      <c r="E21" t="s">
        <v>1172</v>
      </c>
      <c r="F21" t="s">
        <v>1172</v>
      </c>
      <c r="G21" t="s">
        <v>1172</v>
      </c>
      <c r="H21" t="s">
        <v>1172</v>
      </c>
    </row>
    <row r="22" spans="1:8">
      <c r="A22">
        <v>48</v>
      </c>
      <c r="B22" t="s">
        <v>1192</v>
      </c>
      <c r="C22" s="446">
        <v>944106275.25</v>
      </c>
      <c r="E22" t="s">
        <v>1172</v>
      </c>
      <c r="F22" t="s">
        <v>1172</v>
      </c>
      <c r="G22" t="s">
        <v>1172</v>
      </c>
      <c r="H22" t="s">
        <v>1172</v>
      </c>
    </row>
    <row r="23" spans="1:8">
      <c r="A23">
        <v>48</v>
      </c>
      <c r="B23" t="s">
        <v>1193</v>
      </c>
      <c r="C23" s="446">
        <v>971524258.25</v>
      </c>
      <c r="E23" t="s">
        <v>1172</v>
      </c>
      <c r="F23" t="s">
        <v>1172</v>
      </c>
      <c r="G23" t="s">
        <v>1172</v>
      </c>
      <c r="H23" t="s">
        <v>1172</v>
      </c>
    </row>
    <row r="24" spans="1:8">
      <c r="A24">
        <v>48</v>
      </c>
      <c r="B24" t="s">
        <v>1194</v>
      </c>
      <c r="C24" s="446">
        <v>14986929.470000001</v>
      </c>
      <c r="E24" t="s">
        <v>1172</v>
      </c>
      <c r="F24" t="s">
        <v>1172</v>
      </c>
      <c r="G24" t="s">
        <v>1172</v>
      </c>
      <c r="H24" t="s">
        <v>1172</v>
      </c>
    </row>
    <row r="25" spans="1:8">
      <c r="A25">
        <v>48</v>
      </c>
      <c r="B25" t="s">
        <v>1195</v>
      </c>
      <c r="C25" s="446">
        <v>14986929.470000001</v>
      </c>
      <c r="E25" t="s">
        <v>1172</v>
      </c>
      <c r="F25" t="s">
        <v>1172</v>
      </c>
      <c r="G25" t="s">
        <v>1172</v>
      </c>
      <c r="H25" t="s">
        <v>1172</v>
      </c>
    </row>
    <row r="26" spans="1:8">
      <c r="A26">
        <v>48</v>
      </c>
      <c r="B26" t="s">
        <v>1196</v>
      </c>
      <c r="C26" s="446">
        <v>14529113.8737</v>
      </c>
      <c r="E26" t="s">
        <v>1172</v>
      </c>
      <c r="F26" t="s">
        <v>1172</v>
      </c>
      <c r="G26" t="s">
        <v>1172</v>
      </c>
      <c r="H26" t="s">
        <v>1172</v>
      </c>
    </row>
    <row r="27" spans="1:8">
      <c r="A27">
        <v>48</v>
      </c>
      <c r="B27" t="s">
        <v>1197</v>
      </c>
      <c r="C27" s="446">
        <v>14529113.8737</v>
      </c>
      <c r="E27" t="s">
        <v>1172</v>
      </c>
      <c r="F27" t="s">
        <v>1172</v>
      </c>
      <c r="G27" t="s">
        <v>1172</v>
      </c>
      <c r="H27" t="s">
        <v>1172</v>
      </c>
    </row>
    <row r="28" spans="1:8">
      <c r="A28">
        <v>48</v>
      </c>
      <c r="B28" t="s">
        <v>1198</v>
      </c>
      <c r="C28" s="446">
        <v>14529113.869999999</v>
      </c>
      <c r="E28" t="s">
        <v>1172</v>
      </c>
      <c r="F28" t="s">
        <v>1172</v>
      </c>
      <c r="G28" t="s">
        <v>1172</v>
      </c>
      <c r="H28" t="s">
        <v>1172</v>
      </c>
    </row>
    <row r="29" spans="1:8">
      <c r="A29">
        <v>48</v>
      </c>
      <c r="B29" t="s">
        <v>1199</v>
      </c>
      <c r="E29" t="s">
        <v>228</v>
      </c>
      <c r="F29" t="s">
        <v>1172</v>
      </c>
      <c r="G29" t="s">
        <v>1172</v>
      </c>
      <c r="H29" t="s">
        <v>1172</v>
      </c>
    </row>
    <row r="30" spans="1:8">
      <c r="A30">
        <v>48</v>
      </c>
      <c r="B30" t="s">
        <v>1200</v>
      </c>
      <c r="E30" t="s">
        <v>228</v>
      </c>
      <c r="F30" t="s">
        <v>1172</v>
      </c>
      <c r="G30" t="s">
        <v>1172</v>
      </c>
      <c r="H30" t="s">
        <v>1172</v>
      </c>
    </row>
    <row r="31" spans="1:8">
      <c r="A31">
        <v>48</v>
      </c>
      <c r="B31" t="s">
        <v>1201</v>
      </c>
      <c r="E31" t="s">
        <v>228</v>
      </c>
      <c r="F31" t="s">
        <v>1172</v>
      </c>
      <c r="G31" t="s">
        <v>1172</v>
      </c>
      <c r="H31" t="s">
        <v>1172</v>
      </c>
    </row>
    <row r="32" spans="1:8">
      <c r="A32">
        <v>48</v>
      </c>
      <c r="B32" t="s">
        <v>1202</v>
      </c>
      <c r="C32" s="446">
        <v>0</v>
      </c>
      <c r="E32" t="s">
        <v>228</v>
      </c>
      <c r="F32" t="s">
        <v>1172</v>
      </c>
      <c r="G32" t="s">
        <v>1172</v>
      </c>
      <c r="H32" t="s">
        <v>1172</v>
      </c>
    </row>
    <row r="33" spans="1:8">
      <c r="A33">
        <v>48</v>
      </c>
      <c r="B33" t="s">
        <v>1203</v>
      </c>
      <c r="C33" s="446">
        <v>0</v>
      </c>
      <c r="E33" t="s">
        <v>1172</v>
      </c>
      <c r="F33" t="s">
        <v>1172</v>
      </c>
      <c r="G33" t="s">
        <v>1172</v>
      </c>
      <c r="H33" t="s">
        <v>1172</v>
      </c>
    </row>
    <row r="34" spans="1:8">
      <c r="A34">
        <v>48</v>
      </c>
      <c r="B34" t="s">
        <v>1204</v>
      </c>
      <c r="E34" t="s">
        <v>43</v>
      </c>
      <c r="F34" t="s">
        <v>1172</v>
      </c>
      <c r="G34" t="s">
        <v>1172</v>
      </c>
      <c r="H34" t="s">
        <v>1172</v>
      </c>
    </row>
    <row r="35" spans="1:8">
      <c r="A35">
        <v>48</v>
      </c>
      <c r="B35" t="s">
        <v>1205</v>
      </c>
      <c r="E35" t="s">
        <v>228</v>
      </c>
      <c r="F35" t="s">
        <v>1172</v>
      </c>
      <c r="G35" t="s">
        <v>1172</v>
      </c>
      <c r="H35" t="s">
        <v>1172</v>
      </c>
    </row>
    <row r="36" spans="1:8">
      <c r="A36">
        <v>48</v>
      </c>
      <c r="B36" t="s">
        <v>1206</v>
      </c>
      <c r="E36" t="s">
        <v>228</v>
      </c>
      <c r="F36" t="s">
        <v>1172</v>
      </c>
      <c r="G36" t="s">
        <v>1172</v>
      </c>
      <c r="H36" t="s">
        <v>1172</v>
      </c>
    </row>
    <row r="37" spans="1:8">
      <c r="A37">
        <v>48</v>
      </c>
      <c r="B37" t="s">
        <v>1207</v>
      </c>
      <c r="E37" t="s">
        <v>228</v>
      </c>
      <c r="F37" t="s">
        <v>1172</v>
      </c>
      <c r="G37" t="s">
        <v>1172</v>
      </c>
      <c r="H37" t="s">
        <v>1172</v>
      </c>
    </row>
    <row r="38" spans="1:8">
      <c r="A38">
        <v>48</v>
      </c>
      <c r="B38" t="s">
        <v>1208</v>
      </c>
      <c r="C38" s="446">
        <v>0</v>
      </c>
      <c r="E38" t="s">
        <v>228</v>
      </c>
      <c r="F38" t="s">
        <v>1172</v>
      </c>
      <c r="G38" t="s">
        <v>1172</v>
      </c>
      <c r="H38" t="s">
        <v>1172</v>
      </c>
    </row>
    <row r="39" spans="1:8">
      <c r="A39">
        <v>48</v>
      </c>
      <c r="B39" t="s">
        <v>1209</v>
      </c>
      <c r="C39" s="446">
        <v>0</v>
      </c>
      <c r="E39" t="s">
        <v>1172</v>
      </c>
      <c r="F39" t="s">
        <v>1172</v>
      </c>
      <c r="G39" t="s">
        <v>1172</v>
      </c>
      <c r="H39" t="s">
        <v>1172</v>
      </c>
    </row>
    <row r="40" spans="1:8">
      <c r="A40">
        <v>48</v>
      </c>
      <c r="B40" t="s">
        <v>1210</v>
      </c>
      <c r="E40" t="s">
        <v>43</v>
      </c>
      <c r="F40" t="s">
        <v>1172</v>
      </c>
      <c r="G40" t="s">
        <v>1172</v>
      </c>
      <c r="H40" t="s">
        <v>1172</v>
      </c>
    </row>
    <row r="41" spans="1:8">
      <c r="A41">
        <v>48</v>
      </c>
      <c r="B41" t="s">
        <v>1211</v>
      </c>
      <c r="C41" s="446">
        <v>0</v>
      </c>
      <c r="E41" t="s">
        <v>1172</v>
      </c>
      <c r="F41" t="s">
        <v>1172</v>
      </c>
      <c r="G41" t="s">
        <v>1172</v>
      </c>
      <c r="H41" t="s">
        <v>1172</v>
      </c>
    </row>
    <row r="42" spans="1:8">
      <c r="A42">
        <v>48</v>
      </c>
      <c r="B42" t="s">
        <v>1212</v>
      </c>
      <c r="C42" s="446">
        <v>1713133.53</v>
      </c>
      <c r="E42" t="s">
        <v>1172</v>
      </c>
      <c r="F42" t="s">
        <v>1172</v>
      </c>
      <c r="G42" t="s">
        <v>1172</v>
      </c>
      <c r="H42" t="s">
        <v>1172</v>
      </c>
    </row>
    <row r="43" spans="1:8">
      <c r="A43">
        <v>48</v>
      </c>
      <c r="B43" t="s">
        <v>1213</v>
      </c>
      <c r="C43" s="446">
        <v>2364.61</v>
      </c>
      <c r="E43" t="s">
        <v>1172</v>
      </c>
      <c r="F43" t="s">
        <v>1172</v>
      </c>
      <c r="G43" t="s">
        <v>1172</v>
      </c>
      <c r="H43" t="s">
        <v>1172</v>
      </c>
    </row>
    <row r="44" spans="1:8">
      <c r="A44">
        <v>48</v>
      </c>
      <c r="B44" t="s">
        <v>1214</v>
      </c>
      <c r="C44" s="446">
        <v>61</v>
      </c>
      <c r="E44" t="s">
        <v>1172</v>
      </c>
      <c r="F44" t="s">
        <v>1172</v>
      </c>
      <c r="G44" t="s">
        <v>1172</v>
      </c>
      <c r="H44" t="s">
        <v>1172</v>
      </c>
    </row>
    <row r="45" spans="1:8">
      <c r="A45">
        <v>48</v>
      </c>
      <c r="B45" t="s">
        <v>1215</v>
      </c>
      <c r="C45" s="446">
        <v>9510477.3800000008</v>
      </c>
      <c r="E45" t="s">
        <v>1172</v>
      </c>
      <c r="F45" t="s">
        <v>1172</v>
      </c>
      <c r="G45" t="s">
        <v>1172</v>
      </c>
      <c r="H45" t="s">
        <v>1172</v>
      </c>
    </row>
    <row r="46" spans="1:8">
      <c r="A46">
        <v>48</v>
      </c>
      <c r="B46" t="s">
        <v>1216</v>
      </c>
      <c r="C46" s="446">
        <v>-26998.82</v>
      </c>
      <c r="E46" t="s">
        <v>1172</v>
      </c>
      <c r="F46" t="s">
        <v>1172</v>
      </c>
      <c r="G46" t="s">
        <v>1172</v>
      </c>
      <c r="H46" t="s">
        <v>1172</v>
      </c>
    </row>
    <row r="47" spans="1:8">
      <c r="A47">
        <v>48</v>
      </c>
      <c r="B47" t="s">
        <v>1217</v>
      </c>
      <c r="C47" s="446">
        <v>323</v>
      </c>
      <c r="E47" t="s">
        <v>1172</v>
      </c>
      <c r="F47" t="s">
        <v>1172</v>
      </c>
      <c r="G47" t="s">
        <v>1172</v>
      </c>
      <c r="H47" t="s">
        <v>1172</v>
      </c>
    </row>
    <row r="48" spans="1:8">
      <c r="A48">
        <v>48</v>
      </c>
      <c r="B48" t="s">
        <v>1218</v>
      </c>
      <c r="C48" s="446">
        <v>4.0000000000000001E-3</v>
      </c>
      <c r="E48" t="s">
        <v>1172</v>
      </c>
      <c r="F48" t="s">
        <v>1172</v>
      </c>
      <c r="G48" t="s">
        <v>1172</v>
      </c>
      <c r="H48" t="s">
        <v>1172</v>
      </c>
    </row>
    <row r="49" spans="1:8">
      <c r="A49">
        <v>48</v>
      </c>
      <c r="B49" t="s">
        <v>1219</v>
      </c>
      <c r="C49" s="446">
        <v>6.7999999999999996E-3</v>
      </c>
      <c r="E49" t="s">
        <v>1172</v>
      </c>
      <c r="F49" t="s">
        <v>1172</v>
      </c>
      <c r="G49" t="s">
        <v>1172</v>
      </c>
      <c r="H49" t="s">
        <v>1172</v>
      </c>
    </row>
    <row r="50" spans="1:8">
      <c r="A50">
        <v>48</v>
      </c>
      <c r="B50" t="s">
        <v>1220</v>
      </c>
      <c r="C50" s="446">
        <v>8.3000000000000001E-3</v>
      </c>
      <c r="E50" t="s">
        <v>1172</v>
      </c>
      <c r="F50" t="s">
        <v>1172</v>
      </c>
      <c r="G50" t="s">
        <v>1172</v>
      </c>
      <c r="H50" t="s">
        <v>1172</v>
      </c>
    </row>
    <row r="51" spans="1:8">
      <c r="A51">
        <v>48</v>
      </c>
      <c r="B51" t="s">
        <v>1221</v>
      </c>
      <c r="C51" s="446">
        <v>0</v>
      </c>
      <c r="E51" t="s">
        <v>1172</v>
      </c>
      <c r="F51" t="s">
        <v>1172</v>
      </c>
      <c r="G51" t="s">
        <v>1172</v>
      </c>
      <c r="H51" t="s">
        <v>1172</v>
      </c>
    </row>
    <row r="52" spans="1:8">
      <c r="A52">
        <v>48</v>
      </c>
      <c r="B52" t="s">
        <v>1222</v>
      </c>
      <c r="C52" s="446">
        <v>0</v>
      </c>
      <c r="E52" t="s">
        <v>1172</v>
      </c>
      <c r="F52" t="s">
        <v>1172</v>
      </c>
      <c r="G52" t="s">
        <v>1172</v>
      </c>
      <c r="H52" t="s">
        <v>1172</v>
      </c>
    </row>
    <row r="53" spans="1:8">
      <c r="A53">
        <v>48</v>
      </c>
      <c r="B53" t="s">
        <v>1223</v>
      </c>
      <c r="C53" s="446">
        <v>0</v>
      </c>
      <c r="E53" t="s">
        <v>1172</v>
      </c>
      <c r="F53" t="s">
        <v>1172</v>
      </c>
      <c r="G53" t="s">
        <v>1172</v>
      </c>
      <c r="H53" t="s">
        <v>1172</v>
      </c>
    </row>
    <row r="54" spans="1:8">
      <c r="A54">
        <v>48</v>
      </c>
      <c r="B54" t="s">
        <v>1224</v>
      </c>
      <c r="C54" s="446">
        <v>0</v>
      </c>
      <c r="E54" t="s">
        <v>1172</v>
      </c>
      <c r="F54" t="s">
        <v>1172</v>
      </c>
      <c r="G54" t="s">
        <v>1172</v>
      </c>
      <c r="H54" t="s">
        <v>1172</v>
      </c>
    </row>
    <row r="55" spans="1:8">
      <c r="A55">
        <v>48</v>
      </c>
      <c r="B55" t="s">
        <v>1225</v>
      </c>
      <c r="C55" s="446">
        <v>0</v>
      </c>
      <c r="E55" t="s">
        <v>1172</v>
      </c>
      <c r="F55" t="s">
        <v>1172</v>
      </c>
      <c r="G55" t="s">
        <v>1172</v>
      </c>
      <c r="H55" t="s">
        <v>1172</v>
      </c>
    </row>
    <row r="56" spans="1:8">
      <c r="A56">
        <v>48</v>
      </c>
      <c r="B56" t="s">
        <v>1226</v>
      </c>
      <c r="C56" s="446">
        <v>0</v>
      </c>
      <c r="E56" t="s">
        <v>1172</v>
      </c>
      <c r="F56" t="s">
        <v>1172</v>
      </c>
      <c r="G56" t="s">
        <v>1172</v>
      </c>
      <c r="H56" t="s">
        <v>1172</v>
      </c>
    </row>
    <row r="57" spans="1:8">
      <c r="A57">
        <v>48</v>
      </c>
      <c r="B57" t="s">
        <v>1227</v>
      </c>
      <c r="C57" s="446">
        <v>0</v>
      </c>
      <c r="E57" t="s">
        <v>1172</v>
      </c>
      <c r="F57" t="s">
        <v>1172</v>
      </c>
      <c r="G57" t="s">
        <v>1172</v>
      </c>
      <c r="H57" t="s">
        <v>1172</v>
      </c>
    </row>
    <row r="58" spans="1:8">
      <c r="A58">
        <v>48</v>
      </c>
      <c r="B58" t="s">
        <v>1228</v>
      </c>
      <c r="C58" s="446">
        <v>0</v>
      </c>
      <c r="E58" t="s">
        <v>1172</v>
      </c>
      <c r="F58" t="s">
        <v>1172</v>
      </c>
      <c r="G58" t="s">
        <v>1172</v>
      </c>
      <c r="H58" t="s">
        <v>1172</v>
      </c>
    </row>
    <row r="59" spans="1:8">
      <c r="A59">
        <v>48</v>
      </c>
      <c r="B59" t="s">
        <v>1229</v>
      </c>
      <c r="C59" s="446">
        <v>0</v>
      </c>
      <c r="E59" t="s">
        <v>1172</v>
      </c>
      <c r="F59" t="s">
        <v>1172</v>
      </c>
      <c r="G59" t="s">
        <v>1172</v>
      </c>
      <c r="H59" t="s">
        <v>1172</v>
      </c>
    </row>
    <row r="60" spans="1:8">
      <c r="A60">
        <v>48</v>
      </c>
      <c r="B60" t="s">
        <v>1230</v>
      </c>
      <c r="C60" s="446">
        <v>0</v>
      </c>
      <c r="E60" t="s">
        <v>1172</v>
      </c>
      <c r="F60" t="s">
        <v>1172</v>
      </c>
      <c r="G60" t="s">
        <v>1172</v>
      </c>
      <c r="H60" t="s">
        <v>1172</v>
      </c>
    </row>
    <row r="61" spans="1:8">
      <c r="A61">
        <v>48</v>
      </c>
      <c r="B61" t="s">
        <v>1231</v>
      </c>
      <c r="C61" s="446">
        <v>0</v>
      </c>
      <c r="E61" t="s">
        <v>1172</v>
      </c>
      <c r="F61" t="s">
        <v>1172</v>
      </c>
      <c r="G61" t="s">
        <v>1172</v>
      </c>
      <c r="H61" t="s">
        <v>1172</v>
      </c>
    </row>
    <row r="62" spans="1:8">
      <c r="A62">
        <v>48</v>
      </c>
      <c r="B62" t="s">
        <v>1232</v>
      </c>
      <c r="C62" s="446">
        <v>0</v>
      </c>
      <c r="E62" t="s">
        <v>1172</v>
      </c>
      <c r="F62" t="s">
        <v>1172</v>
      </c>
      <c r="G62" t="s">
        <v>1172</v>
      </c>
      <c r="H62" t="s">
        <v>1172</v>
      </c>
    </row>
    <row r="63" spans="1:8">
      <c r="A63">
        <v>48</v>
      </c>
      <c r="B63" t="s">
        <v>1233</v>
      </c>
      <c r="C63" s="446">
        <v>0</v>
      </c>
      <c r="E63" t="s">
        <v>1172</v>
      </c>
      <c r="F63" t="s">
        <v>1172</v>
      </c>
      <c r="G63" t="s">
        <v>1172</v>
      </c>
      <c r="H63" t="s">
        <v>1172</v>
      </c>
    </row>
    <row r="64" spans="1:8">
      <c r="A64">
        <v>48</v>
      </c>
      <c r="B64" t="s">
        <v>1234</v>
      </c>
      <c r="C64" s="446">
        <v>0</v>
      </c>
      <c r="E64" t="s">
        <v>1172</v>
      </c>
      <c r="F64" t="s">
        <v>1172</v>
      </c>
      <c r="G64" t="s">
        <v>1172</v>
      </c>
      <c r="H64" t="s">
        <v>1172</v>
      </c>
    </row>
    <row r="65" spans="1:8">
      <c r="A65">
        <v>48</v>
      </c>
      <c r="B65" t="s">
        <v>1235</v>
      </c>
      <c r="C65" s="446">
        <v>0</v>
      </c>
      <c r="E65" t="s">
        <v>1172</v>
      </c>
      <c r="F65" t="s">
        <v>1172</v>
      </c>
      <c r="G65" t="s">
        <v>1172</v>
      </c>
      <c r="H65" t="s">
        <v>1172</v>
      </c>
    </row>
    <row r="66" spans="1:8">
      <c r="A66">
        <v>48</v>
      </c>
      <c r="B66" t="s">
        <v>1236</v>
      </c>
      <c r="C66" s="446">
        <v>0</v>
      </c>
      <c r="E66" t="s">
        <v>1172</v>
      </c>
      <c r="F66" t="s">
        <v>1172</v>
      </c>
      <c r="G66" t="s">
        <v>1172</v>
      </c>
      <c r="H66" t="s">
        <v>1172</v>
      </c>
    </row>
    <row r="67" spans="1:8">
      <c r="A67">
        <v>48</v>
      </c>
      <c r="B67" t="s">
        <v>1237</v>
      </c>
      <c r="C67" s="446">
        <v>0</v>
      </c>
      <c r="E67" t="s">
        <v>1172</v>
      </c>
      <c r="F67" t="s">
        <v>1172</v>
      </c>
      <c r="G67" t="s">
        <v>1172</v>
      </c>
      <c r="H67" t="s">
        <v>1172</v>
      </c>
    </row>
    <row r="68" spans="1:8">
      <c r="A68">
        <v>48</v>
      </c>
      <c r="B68" t="s">
        <v>1238</v>
      </c>
      <c r="C68" s="446">
        <v>0</v>
      </c>
      <c r="E68" t="s">
        <v>1172</v>
      </c>
      <c r="F68" t="s">
        <v>1172</v>
      </c>
      <c r="G68" t="s">
        <v>1172</v>
      </c>
      <c r="H68" t="s">
        <v>1172</v>
      </c>
    </row>
    <row r="69" spans="1:8">
      <c r="A69">
        <v>48</v>
      </c>
      <c r="B69" t="s">
        <v>1239</v>
      </c>
      <c r="C69" s="446">
        <v>0</v>
      </c>
      <c r="E69" t="s">
        <v>1172</v>
      </c>
      <c r="F69" t="s">
        <v>1172</v>
      </c>
      <c r="G69" t="s">
        <v>1172</v>
      </c>
      <c r="H69" t="s">
        <v>1172</v>
      </c>
    </row>
    <row r="70" spans="1:8">
      <c r="A70">
        <v>48</v>
      </c>
      <c r="B70" t="s">
        <v>1240</v>
      </c>
      <c r="C70" s="446">
        <v>0</v>
      </c>
      <c r="E70" t="s">
        <v>1172</v>
      </c>
      <c r="F70" t="s">
        <v>1172</v>
      </c>
      <c r="G70" t="s">
        <v>1172</v>
      </c>
      <c r="H70" t="s">
        <v>1172</v>
      </c>
    </row>
    <row r="71" spans="1:8">
      <c r="A71">
        <v>48</v>
      </c>
      <c r="B71" t="s">
        <v>1241</v>
      </c>
      <c r="C71" s="446">
        <v>0</v>
      </c>
      <c r="E71" t="s">
        <v>1172</v>
      </c>
      <c r="F71" t="s">
        <v>1172</v>
      </c>
      <c r="G71" t="s">
        <v>1172</v>
      </c>
      <c r="H71" t="s">
        <v>1172</v>
      </c>
    </row>
    <row r="72" spans="1:8">
      <c r="A72">
        <v>48</v>
      </c>
      <c r="B72" t="s">
        <v>1242</v>
      </c>
      <c r="C72" s="446">
        <v>1713133.53</v>
      </c>
      <c r="E72" t="s">
        <v>1172</v>
      </c>
      <c r="F72" t="s">
        <v>1172</v>
      </c>
      <c r="G72" t="s">
        <v>1172</v>
      </c>
      <c r="H72" t="s">
        <v>1172</v>
      </c>
    </row>
    <row r="73" spans="1:8">
      <c r="A73">
        <v>48</v>
      </c>
      <c r="B73" t="s">
        <v>1243</v>
      </c>
      <c r="C73" s="446">
        <v>1713133.53</v>
      </c>
      <c r="E73" t="s">
        <v>1172</v>
      </c>
      <c r="F73" t="s">
        <v>1172</v>
      </c>
      <c r="G73" t="s">
        <v>1172</v>
      </c>
      <c r="H73" t="s">
        <v>1172</v>
      </c>
    </row>
    <row r="74" spans="1:8">
      <c r="A74">
        <v>48</v>
      </c>
      <c r="B74" t="s">
        <v>1244</v>
      </c>
      <c r="C74" s="446">
        <v>0</v>
      </c>
      <c r="E74" t="s">
        <v>1172</v>
      </c>
      <c r="F74" t="s">
        <v>1172</v>
      </c>
      <c r="G74" t="s">
        <v>1172</v>
      </c>
      <c r="H74" t="s">
        <v>1172</v>
      </c>
    </row>
    <row r="75" spans="1:8">
      <c r="A75">
        <v>48</v>
      </c>
      <c r="B75" t="s">
        <v>1245</v>
      </c>
      <c r="C75" s="446">
        <v>8.3000000000000001E-3</v>
      </c>
      <c r="E75" t="s">
        <v>1172</v>
      </c>
      <c r="F75" t="s">
        <v>1172</v>
      </c>
      <c r="G75" t="s">
        <v>1172</v>
      </c>
      <c r="H75" t="s">
        <v>1172</v>
      </c>
    </row>
    <row r="76" spans="1:8">
      <c r="A76">
        <v>48</v>
      </c>
      <c r="B76" t="s">
        <v>1246</v>
      </c>
      <c r="C76" s="446">
        <v>21.62</v>
      </c>
      <c r="E76" t="s">
        <v>1172</v>
      </c>
      <c r="F76" t="s">
        <v>1172</v>
      </c>
      <c r="G76" t="s">
        <v>1172</v>
      </c>
      <c r="H76" t="s">
        <v>1172</v>
      </c>
    </row>
    <row r="77" spans="1:8">
      <c r="A77">
        <v>48</v>
      </c>
      <c r="B77" t="s">
        <v>1191</v>
      </c>
      <c r="C77" s="446">
        <v>37.840000000000003</v>
      </c>
      <c r="E77" t="s">
        <v>1172</v>
      </c>
      <c r="F77" t="s">
        <v>1172</v>
      </c>
      <c r="G77" t="s">
        <v>1172</v>
      </c>
      <c r="H77" t="s">
        <v>1172</v>
      </c>
    </row>
    <row r="78" spans="1:8">
      <c r="A78">
        <v>48</v>
      </c>
      <c r="B78" t="s">
        <v>1190</v>
      </c>
      <c r="C78" s="446">
        <v>7.86</v>
      </c>
      <c r="E78" t="s">
        <v>1172</v>
      </c>
      <c r="F78" t="s">
        <v>1172</v>
      </c>
      <c r="G78" t="s">
        <v>1172</v>
      </c>
      <c r="H78" t="s">
        <v>1172</v>
      </c>
    </row>
    <row r="79" spans="1:8">
      <c r="A79">
        <v>48</v>
      </c>
      <c r="B79" t="s">
        <v>1247</v>
      </c>
      <c r="C79" s="446">
        <v>1.15E-2</v>
      </c>
      <c r="E79" t="s">
        <v>1172</v>
      </c>
      <c r="F79" t="s">
        <v>1172</v>
      </c>
      <c r="G79" t="s">
        <v>1172</v>
      </c>
      <c r="H79" t="s">
        <v>1172</v>
      </c>
    </row>
    <row r="80" spans="1:8">
      <c r="A80">
        <v>48</v>
      </c>
      <c r="B80" t="s">
        <v>1248</v>
      </c>
      <c r="E80" t="s">
        <v>1172</v>
      </c>
      <c r="F80" t="s">
        <v>1172</v>
      </c>
      <c r="G80" t="s">
        <v>1172</v>
      </c>
      <c r="H80" t="s">
        <v>1172</v>
      </c>
    </row>
    <row r="81" spans="1:8">
      <c r="A81">
        <v>48</v>
      </c>
      <c r="B81" t="s">
        <v>1249</v>
      </c>
      <c r="C81" s="446">
        <v>0</v>
      </c>
      <c r="E81" t="s">
        <v>1172</v>
      </c>
      <c r="F81" t="s">
        <v>1172</v>
      </c>
      <c r="G81" t="s">
        <v>1172</v>
      </c>
      <c r="H81" t="s">
        <v>1172</v>
      </c>
    </row>
    <row r="82" spans="1:8">
      <c r="A82">
        <v>48</v>
      </c>
      <c r="B82" t="s">
        <v>1250</v>
      </c>
      <c r="C82" s="446">
        <v>0</v>
      </c>
      <c r="E82" t="s">
        <v>1172</v>
      </c>
      <c r="F82" t="s">
        <v>1172</v>
      </c>
      <c r="G82" t="s">
        <v>1172</v>
      </c>
      <c r="H82" t="s">
        <v>1172</v>
      </c>
    </row>
    <row r="83" spans="1:8">
      <c r="A83">
        <v>48</v>
      </c>
      <c r="B83" t="s">
        <v>1251</v>
      </c>
      <c r="C83" s="446">
        <v>968607591.58329999</v>
      </c>
      <c r="E83" t="s">
        <v>1172</v>
      </c>
      <c r="F83" t="s">
        <v>1172</v>
      </c>
      <c r="G83" t="s">
        <v>1172</v>
      </c>
      <c r="H83" t="s">
        <v>1172</v>
      </c>
    </row>
    <row r="84" spans="1:8">
      <c r="A84">
        <v>48</v>
      </c>
      <c r="B84" t="s">
        <v>1252</v>
      </c>
      <c r="C84" s="446">
        <v>814024258.25</v>
      </c>
      <c r="E84" t="s">
        <v>1172</v>
      </c>
      <c r="F84" t="s">
        <v>1172</v>
      </c>
      <c r="G84" t="s">
        <v>1172</v>
      </c>
      <c r="H84" t="s">
        <v>1172</v>
      </c>
    </row>
    <row r="85" spans="1:8">
      <c r="A85">
        <v>48</v>
      </c>
      <c r="B85" t="s">
        <v>1253</v>
      </c>
      <c r="C85" s="446">
        <v>60000000</v>
      </c>
      <c r="E85" t="s">
        <v>1172</v>
      </c>
      <c r="F85" t="s">
        <v>1172</v>
      </c>
      <c r="G85" t="s">
        <v>1172</v>
      </c>
      <c r="H85" t="s">
        <v>1172</v>
      </c>
    </row>
    <row r="86" spans="1:8">
      <c r="A86">
        <v>48</v>
      </c>
      <c r="B86" t="s">
        <v>1254</v>
      </c>
      <c r="C86" s="446">
        <v>32500000</v>
      </c>
      <c r="E86" t="s">
        <v>1172</v>
      </c>
      <c r="F86" t="s">
        <v>1172</v>
      </c>
      <c r="G86" t="s">
        <v>1172</v>
      </c>
      <c r="H86" t="s">
        <v>1172</v>
      </c>
    </row>
    <row r="87" spans="1:8">
      <c r="A87">
        <v>48</v>
      </c>
      <c r="B87" t="s">
        <v>1255</v>
      </c>
      <c r="C87" s="446">
        <v>27500000</v>
      </c>
      <c r="E87" t="s">
        <v>1172</v>
      </c>
      <c r="F87" t="s">
        <v>1172</v>
      </c>
      <c r="G87" t="s">
        <v>1172</v>
      </c>
      <c r="H87" t="s">
        <v>1172</v>
      </c>
    </row>
    <row r="88" spans="1:8">
      <c r="A88">
        <v>48</v>
      </c>
      <c r="B88" t="s">
        <v>1256</v>
      </c>
      <c r="C88" s="446">
        <v>27500000</v>
      </c>
      <c r="E88" t="s">
        <v>1172</v>
      </c>
      <c r="F88" t="s">
        <v>1172</v>
      </c>
      <c r="G88" t="s">
        <v>1172</v>
      </c>
      <c r="H88" t="s">
        <v>1172</v>
      </c>
    </row>
    <row r="89" spans="1:8">
      <c r="A89">
        <v>48</v>
      </c>
      <c r="B89" t="s">
        <v>1257</v>
      </c>
      <c r="C89" s="446">
        <v>7083333.3333000001</v>
      </c>
      <c r="E89" t="s">
        <v>1172</v>
      </c>
      <c r="F89" t="s">
        <v>1172</v>
      </c>
      <c r="G89" t="s">
        <v>1172</v>
      </c>
      <c r="H89" t="s">
        <v>1172</v>
      </c>
    </row>
    <row r="90" spans="1:8">
      <c r="A90">
        <v>48</v>
      </c>
      <c r="B90" t="s">
        <v>225</v>
      </c>
      <c r="C90" s="446">
        <v>0</v>
      </c>
      <c r="E90" t="s">
        <v>1172</v>
      </c>
      <c r="F90" t="s">
        <v>1172</v>
      </c>
      <c r="G90" t="s">
        <v>1172</v>
      </c>
      <c r="H90" t="s">
        <v>1172</v>
      </c>
    </row>
    <row r="91" spans="1:8">
      <c r="A91">
        <v>48</v>
      </c>
      <c r="B91" t="s">
        <v>1258</v>
      </c>
      <c r="C91" s="446">
        <v>27834649.666700002</v>
      </c>
      <c r="E91" t="s">
        <v>1172</v>
      </c>
      <c r="F91" t="s">
        <v>1172</v>
      </c>
      <c r="G91" t="s">
        <v>1172</v>
      </c>
      <c r="H91" t="s">
        <v>1172</v>
      </c>
    </row>
    <row r="92" spans="1:8">
      <c r="A92">
        <v>48</v>
      </c>
      <c r="B92" t="s">
        <v>1259</v>
      </c>
      <c r="C92" s="446">
        <v>27834649.666700002</v>
      </c>
      <c r="E92" t="s">
        <v>1172</v>
      </c>
      <c r="F92" t="s">
        <v>1172</v>
      </c>
      <c r="G92" t="s">
        <v>1172</v>
      </c>
      <c r="H92" t="s">
        <v>1172</v>
      </c>
    </row>
    <row r="93" spans="1:8">
      <c r="A93">
        <v>48</v>
      </c>
      <c r="B93" t="s">
        <v>1260</v>
      </c>
      <c r="C93" s="446">
        <v>27417983</v>
      </c>
      <c r="E93" t="s">
        <v>1172</v>
      </c>
      <c r="F93" t="s">
        <v>1172</v>
      </c>
      <c r="G93" t="s">
        <v>1172</v>
      </c>
      <c r="H93" t="s">
        <v>1172</v>
      </c>
    </row>
    <row r="94" spans="1:8">
      <c r="A94">
        <v>48</v>
      </c>
      <c r="B94" t="s">
        <v>1261</v>
      </c>
      <c r="C94" s="446">
        <v>0</v>
      </c>
      <c r="E94" t="s">
        <v>1172</v>
      </c>
      <c r="F94" t="s">
        <v>1172</v>
      </c>
      <c r="G94" t="s">
        <v>1172</v>
      </c>
      <c r="H94" t="s">
        <v>1172</v>
      </c>
    </row>
    <row r="95" spans="1:8">
      <c r="A95">
        <v>48</v>
      </c>
      <c r="B95" t="s">
        <v>1262</v>
      </c>
      <c r="C95" s="446">
        <v>0</v>
      </c>
      <c r="E95" t="s">
        <v>1172</v>
      </c>
      <c r="F95" t="s">
        <v>1172</v>
      </c>
      <c r="G95" t="s">
        <v>1172</v>
      </c>
      <c r="H95" t="s">
        <v>1172</v>
      </c>
    </row>
    <row r="96" spans="1:8">
      <c r="A96">
        <v>48</v>
      </c>
      <c r="B96" t="s">
        <v>1263</v>
      </c>
      <c r="C96" s="446">
        <v>0</v>
      </c>
      <c r="E96" t="s">
        <v>1172</v>
      </c>
      <c r="F96" t="s">
        <v>1172</v>
      </c>
      <c r="G96" t="s">
        <v>1172</v>
      </c>
      <c r="H96" t="s">
        <v>1172</v>
      </c>
    </row>
    <row r="97" spans="1:8">
      <c r="A97">
        <v>48</v>
      </c>
      <c r="B97" t="s">
        <v>1264</v>
      </c>
      <c r="C97" s="446">
        <v>0</v>
      </c>
      <c r="E97" t="s">
        <v>1172</v>
      </c>
      <c r="F97" t="s">
        <v>1172</v>
      </c>
      <c r="G97" t="s">
        <v>1172</v>
      </c>
      <c r="H97" t="s">
        <v>1172</v>
      </c>
    </row>
    <row r="98" spans="1:8">
      <c r="A98">
        <v>48</v>
      </c>
      <c r="B98" t="s">
        <v>1265</v>
      </c>
      <c r="C98" s="446">
        <v>416666.6667</v>
      </c>
      <c r="E98" t="s">
        <v>1172</v>
      </c>
      <c r="F98" t="s">
        <v>1172</v>
      </c>
      <c r="G98" t="s">
        <v>1172</v>
      </c>
      <c r="H98" t="s">
        <v>1172</v>
      </c>
    </row>
    <row r="99" spans="1:8">
      <c r="A99">
        <v>48</v>
      </c>
      <c r="B99" t="s">
        <v>1266</v>
      </c>
      <c r="C99" s="446">
        <v>28</v>
      </c>
      <c r="E99" t="s">
        <v>1172</v>
      </c>
      <c r="F99" t="s">
        <v>1172</v>
      </c>
      <c r="G99" t="s">
        <v>1172</v>
      </c>
      <c r="H99" t="s">
        <v>1172</v>
      </c>
    </row>
    <row r="100" spans="1:8">
      <c r="A100">
        <v>48</v>
      </c>
      <c r="B100" t="s">
        <v>1267</v>
      </c>
      <c r="C100" s="446">
        <v>1641105.75</v>
      </c>
      <c r="E100" t="s">
        <v>1172</v>
      </c>
      <c r="F100" t="s">
        <v>1172</v>
      </c>
      <c r="G100" t="s">
        <v>1172</v>
      </c>
      <c r="H100" t="s">
        <v>1172</v>
      </c>
    </row>
    <row r="101" spans="1:8">
      <c r="A101">
        <v>48</v>
      </c>
      <c r="B101" t="s">
        <v>1268</v>
      </c>
      <c r="C101" s="446">
        <v>139626</v>
      </c>
      <c r="E101" t="s">
        <v>1172</v>
      </c>
      <c r="F101" t="s">
        <v>1172</v>
      </c>
      <c r="G101" t="s">
        <v>1172</v>
      </c>
      <c r="H101" t="s">
        <v>1172</v>
      </c>
    </row>
    <row r="102" spans="1:8">
      <c r="A102">
        <v>48</v>
      </c>
      <c r="B102" t="s">
        <v>1269</v>
      </c>
      <c r="C102" s="446">
        <v>83213</v>
      </c>
      <c r="E102" t="s">
        <v>1172</v>
      </c>
      <c r="F102" t="s">
        <v>1172</v>
      </c>
      <c r="G102" t="s">
        <v>1172</v>
      </c>
      <c r="H102" t="s">
        <v>1172</v>
      </c>
    </row>
    <row r="103" spans="1:8">
      <c r="A103">
        <v>48</v>
      </c>
      <c r="B103" t="s">
        <v>1270</v>
      </c>
      <c r="C103" s="446">
        <v>76829.5</v>
      </c>
      <c r="E103" t="s">
        <v>1172</v>
      </c>
      <c r="F103" t="s">
        <v>1172</v>
      </c>
      <c r="G103" t="s">
        <v>1172</v>
      </c>
      <c r="H103" t="s">
        <v>1172</v>
      </c>
    </row>
    <row r="104" spans="1:8">
      <c r="A104">
        <v>48</v>
      </c>
      <c r="B104" t="s">
        <v>1271</v>
      </c>
      <c r="C104" s="446">
        <v>109980.75</v>
      </c>
      <c r="E104" t="s">
        <v>1172</v>
      </c>
      <c r="F104" t="s">
        <v>1172</v>
      </c>
      <c r="G104" t="s">
        <v>1172</v>
      </c>
      <c r="H104" t="s">
        <v>1172</v>
      </c>
    </row>
    <row r="105" spans="1:8">
      <c r="A105">
        <v>48</v>
      </c>
      <c r="B105" t="s">
        <v>1272</v>
      </c>
      <c r="C105" s="446">
        <v>21277</v>
      </c>
      <c r="E105" t="s">
        <v>1172</v>
      </c>
      <c r="F105" t="s">
        <v>1172</v>
      </c>
      <c r="G105" t="s">
        <v>1172</v>
      </c>
      <c r="H105" t="s">
        <v>1172</v>
      </c>
    </row>
    <row r="106" spans="1:8">
      <c r="A106">
        <v>48</v>
      </c>
      <c r="B106" t="s">
        <v>1273</v>
      </c>
      <c r="C106" s="874">
        <v>1.8919999999999999E-2</v>
      </c>
      <c r="E106" t="s">
        <v>1172</v>
      </c>
      <c r="F106" t="s">
        <v>1172</v>
      </c>
      <c r="G106" t="s">
        <v>1172</v>
      </c>
      <c r="H106" t="s">
        <v>1172</v>
      </c>
    </row>
    <row r="107" spans="1:8">
      <c r="A107">
        <v>48</v>
      </c>
      <c r="B107" t="s">
        <v>1274</v>
      </c>
      <c r="C107" s="446">
        <v>416666.6667</v>
      </c>
      <c r="E107" t="s">
        <v>1172</v>
      </c>
      <c r="F107" t="s">
        <v>1172</v>
      </c>
      <c r="G107" t="s">
        <v>1172</v>
      </c>
      <c r="H107" t="s">
        <v>1172</v>
      </c>
    </row>
    <row r="108" spans="1:8">
      <c r="A108">
        <v>48</v>
      </c>
      <c r="B108" t="s">
        <v>1275</v>
      </c>
      <c r="C108" s="446">
        <v>6899913.2800000003</v>
      </c>
      <c r="E108" t="s">
        <v>1172</v>
      </c>
      <c r="F108" t="s">
        <v>1172</v>
      </c>
      <c r="G108" t="s">
        <v>1172</v>
      </c>
      <c r="H108" t="s">
        <v>1172</v>
      </c>
    </row>
    <row r="109" spans="1:8">
      <c r="A109">
        <v>48</v>
      </c>
      <c r="B109" t="s">
        <v>1276</v>
      </c>
      <c r="C109" s="446">
        <v>0</v>
      </c>
      <c r="E109" t="s">
        <v>1172</v>
      </c>
      <c r="F109" t="s">
        <v>1172</v>
      </c>
      <c r="G109" t="s">
        <v>1172</v>
      </c>
      <c r="H109" t="s">
        <v>1172</v>
      </c>
    </row>
    <row r="110" spans="1:8">
      <c r="A110">
        <v>48</v>
      </c>
      <c r="B110" t="s">
        <v>1277</v>
      </c>
      <c r="C110" s="446">
        <v>2364.61</v>
      </c>
      <c r="E110" t="s">
        <v>1172</v>
      </c>
      <c r="F110" t="s">
        <v>1172</v>
      </c>
      <c r="G110" t="s">
        <v>1172</v>
      </c>
      <c r="H110" t="s">
        <v>1172</v>
      </c>
    </row>
    <row r="111" spans="1:8">
      <c r="A111">
        <v>48</v>
      </c>
      <c r="B111" t="s">
        <v>1278</v>
      </c>
      <c r="C111" s="446">
        <v>0.02</v>
      </c>
      <c r="E111" t="s">
        <v>1172</v>
      </c>
      <c r="F111" t="s">
        <v>1172</v>
      </c>
      <c r="G111" t="s">
        <v>1172</v>
      </c>
      <c r="H111" t="s">
        <v>1172</v>
      </c>
    </row>
    <row r="112" spans="1:8">
      <c r="A112">
        <v>48</v>
      </c>
      <c r="B112" t="s">
        <v>1279</v>
      </c>
      <c r="C112" s="446">
        <v>0</v>
      </c>
      <c r="E112" t="s">
        <v>1172</v>
      </c>
      <c r="F112" t="s">
        <v>1172</v>
      </c>
      <c r="G112" t="s">
        <v>1172</v>
      </c>
      <c r="H112" t="s">
        <v>1172</v>
      </c>
    </row>
    <row r="113" spans="1:8">
      <c r="A113">
        <v>48</v>
      </c>
      <c r="B113" t="s">
        <v>1280</v>
      </c>
      <c r="C113" s="446">
        <v>14986929.470000001</v>
      </c>
      <c r="E113" t="s">
        <v>1172</v>
      </c>
      <c r="F113" t="s">
        <v>1172</v>
      </c>
      <c r="G113" t="s">
        <v>1172</v>
      </c>
      <c r="H113" t="s">
        <v>1172</v>
      </c>
    </row>
    <row r="114" spans="1:8">
      <c r="A114">
        <v>48</v>
      </c>
      <c r="B114" t="s">
        <v>1281</v>
      </c>
      <c r="C114" s="446">
        <v>0</v>
      </c>
      <c r="E114" t="s">
        <v>1172</v>
      </c>
      <c r="F114" t="s">
        <v>1172</v>
      </c>
      <c r="G114" t="s">
        <v>1172</v>
      </c>
      <c r="H114" t="s">
        <v>1172</v>
      </c>
    </row>
    <row r="115" spans="1:8">
      <c r="A115">
        <v>48</v>
      </c>
      <c r="B115" t="s">
        <v>1282</v>
      </c>
      <c r="C115" s="446">
        <v>0</v>
      </c>
      <c r="E115" t="s">
        <v>1172</v>
      </c>
      <c r="F115" t="s">
        <v>1172</v>
      </c>
      <c r="G115" t="s">
        <v>1172</v>
      </c>
      <c r="H115" t="s">
        <v>1172</v>
      </c>
    </row>
    <row r="116" spans="1:8">
      <c r="A116">
        <v>48</v>
      </c>
      <c r="B116" t="s">
        <v>1283</v>
      </c>
      <c r="C116" s="446">
        <v>0</v>
      </c>
      <c r="E116" t="s">
        <v>1172</v>
      </c>
      <c r="F116" t="s">
        <v>1172</v>
      </c>
      <c r="G116" t="s">
        <v>1172</v>
      </c>
      <c r="H116" t="s">
        <v>1172</v>
      </c>
    </row>
    <row r="117" spans="1:8">
      <c r="A117">
        <v>48</v>
      </c>
      <c r="B117" t="s">
        <v>1284</v>
      </c>
      <c r="C117" s="446">
        <v>0</v>
      </c>
      <c r="E117" t="s">
        <v>1172</v>
      </c>
      <c r="F117" t="s">
        <v>1172</v>
      </c>
      <c r="G117" t="s">
        <v>1172</v>
      </c>
      <c r="H117" t="s">
        <v>1172</v>
      </c>
    </row>
    <row r="118" spans="1:8">
      <c r="A118">
        <v>48</v>
      </c>
      <c r="B118" t="s">
        <v>1285</v>
      </c>
      <c r="C118" s="446">
        <v>21889207.379999999</v>
      </c>
      <c r="E118" t="s">
        <v>1172</v>
      </c>
      <c r="F118" t="s">
        <v>1172</v>
      </c>
      <c r="G118" t="s">
        <v>1172</v>
      </c>
      <c r="H118" t="s">
        <v>1172</v>
      </c>
    </row>
    <row r="119" spans="1:8">
      <c r="A119">
        <v>48</v>
      </c>
      <c r="B119" t="s">
        <v>1285</v>
      </c>
      <c r="C119" s="446">
        <v>21889207.379999999</v>
      </c>
      <c r="E119" t="s">
        <v>1172</v>
      </c>
      <c r="F119" t="s">
        <v>1172</v>
      </c>
      <c r="G119" t="s">
        <v>1172</v>
      </c>
      <c r="H119" t="s">
        <v>1172</v>
      </c>
    </row>
    <row r="120" spans="1:8">
      <c r="A120">
        <v>48</v>
      </c>
      <c r="B120" t="s">
        <v>1286</v>
      </c>
      <c r="C120" s="446">
        <v>416.67</v>
      </c>
      <c r="E120" t="s">
        <v>1172</v>
      </c>
      <c r="F120" t="s">
        <v>1172</v>
      </c>
      <c r="G120" t="s">
        <v>1172</v>
      </c>
      <c r="H120" t="s">
        <v>1172</v>
      </c>
    </row>
    <row r="121" spans="1:8">
      <c r="A121">
        <v>48</v>
      </c>
      <c r="B121" t="s">
        <v>1287</v>
      </c>
      <c r="C121" s="446">
        <v>0</v>
      </c>
      <c r="E121" t="s">
        <v>1172</v>
      </c>
      <c r="F121" t="s">
        <v>1172</v>
      </c>
      <c r="G121" t="s">
        <v>1172</v>
      </c>
      <c r="H121" t="s">
        <v>1172</v>
      </c>
    </row>
    <row r="122" spans="1:8">
      <c r="A122">
        <v>48</v>
      </c>
      <c r="B122" t="s">
        <v>1288</v>
      </c>
      <c r="C122" s="446">
        <v>203181.59</v>
      </c>
      <c r="E122" t="s">
        <v>1172</v>
      </c>
      <c r="F122" t="s">
        <v>1172</v>
      </c>
      <c r="G122" t="s">
        <v>1172</v>
      </c>
      <c r="H122" t="s">
        <v>1172</v>
      </c>
    </row>
    <row r="123" spans="1:8">
      <c r="A123">
        <v>48</v>
      </c>
      <c r="B123" t="s">
        <v>1289</v>
      </c>
      <c r="C123" s="446">
        <v>1641105.75</v>
      </c>
      <c r="E123" t="s">
        <v>1172</v>
      </c>
      <c r="F123" t="s">
        <v>1172</v>
      </c>
      <c r="G123" t="s">
        <v>1172</v>
      </c>
      <c r="H123" t="s">
        <v>1172</v>
      </c>
    </row>
    <row r="124" spans="1:8">
      <c r="A124">
        <v>48</v>
      </c>
      <c r="B124" t="s">
        <v>1290</v>
      </c>
      <c r="C124" s="446">
        <v>139626</v>
      </c>
      <c r="E124" t="s">
        <v>1172</v>
      </c>
      <c r="F124" t="s">
        <v>1172</v>
      </c>
      <c r="G124" t="s">
        <v>1172</v>
      </c>
      <c r="H124" t="s">
        <v>1172</v>
      </c>
    </row>
    <row r="125" spans="1:8">
      <c r="A125">
        <v>48</v>
      </c>
      <c r="B125" t="s">
        <v>1291</v>
      </c>
      <c r="C125" s="446">
        <v>83213</v>
      </c>
      <c r="E125" t="s">
        <v>1172</v>
      </c>
      <c r="F125" t="s">
        <v>1172</v>
      </c>
      <c r="G125" t="s">
        <v>1172</v>
      </c>
      <c r="H125" t="s">
        <v>1172</v>
      </c>
    </row>
    <row r="126" spans="1:8">
      <c r="A126">
        <v>48</v>
      </c>
      <c r="B126" t="s">
        <v>1292</v>
      </c>
      <c r="C126" s="446">
        <v>76829.5</v>
      </c>
      <c r="E126" t="s">
        <v>1172</v>
      </c>
      <c r="F126" t="s">
        <v>1172</v>
      </c>
      <c r="G126" t="s">
        <v>1172</v>
      </c>
      <c r="H126" t="s">
        <v>1172</v>
      </c>
    </row>
    <row r="127" spans="1:8">
      <c r="A127">
        <v>48</v>
      </c>
      <c r="B127" t="s">
        <v>1293</v>
      </c>
      <c r="C127" s="446">
        <v>109980.75</v>
      </c>
      <c r="E127" t="s">
        <v>1172</v>
      </c>
      <c r="F127" t="s">
        <v>1172</v>
      </c>
      <c r="G127" t="s">
        <v>1172</v>
      </c>
      <c r="H127" t="s">
        <v>1172</v>
      </c>
    </row>
    <row r="128" spans="1:8">
      <c r="A128">
        <v>48</v>
      </c>
      <c r="B128" t="s">
        <v>1294</v>
      </c>
      <c r="C128" s="446">
        <v>21277</v>
      </c>
      <c r="E128" t="s">
        <v>1172</v>
      </c>
      <c r="F128" t="s">
        <v>1172</v>
      </c>
      <c r="G128" t="s">
        <v>1172</v>
      </c>
      <c r="H128" t="s">
        <v>1172</v>
      </c>
    </row>
    <row r="129" spans="1:8">
      <c r="A129">
        <v>48</v>
      </c>
      <c r="B129" t="s">
        <v>1295</v>
      </c>
      <c r="C129" s="446">
        <v>14529113.8737</v>
      </c>
      <c r="E129" t="s">
        <v>1172</v>
      </c>
      <c r="F129" t="s">
        <v>1172</v>
      </c>
      <c r="G129" t="s">
        <v>1172</v>
      </c>
      <c r="H129" t="s">
        <v>1172</v>
      </c>
    </row>
    <row r="130" spans="1:8">
      <c r="A130">
        <v>48</v>
      </c>
      <c r="B130" t="s">
        <v>1296</v>
      </c>
      <c r="C130" s="446">
        <v>1713133.53</v>
      </c>
      <c r="E130" t="s">
        <v>1172</v>
      </c>
      <c r="F130" t="s">
        <v>1172</v>
      </c>
      <c r="G130" t="s">
        <v>1172</v>
      </c>
      <c r="H130" t="s">
        <v>1172</v>
      </c>
    </row>
    <row r="131" spans="1:8">
      <c r="A131">
        <v>48</v>
      </c>
      <c r="B131" t="s">
        <v>1297</v>
      </c>
      <c r="C131" s="446">
        <v>0</v>
      </c>
      <c r="E131" t="s">
        <v>1172</v>
      </c>
      <c r="F131" t="s">
        <v>1172</v>
      </c>
      <c r="G131" t="s">
        <v>1172</v>
      </c>
      <c r="H131" t="s">
        <v>1172</v>
      </c>
    </row>
    <row r="132" spans="1:8">
      <c r="A132">
        <v>48</v>
      </c>
      <c r="B132" t="s">
        <v>1298</v>
      </c>
      <c r="C132" s="446">
        <v>0</v>
      </c>
      <c r="E132" t="s">
        <v>1172</v>
      </c>
      <c r="F132" t="s">
        <v>1172</v>
      </c>
      <c r="G132" t="s">
        <v>1172</v>
      </c>
      <c r="H132" t="s">
        <v>1172</v>
      </c>
    </row>
    <row r="133" spans="1:8">
      <c r="A133">
        <v>48</v>
      </c>
      <c r="B133" t="s">
        <v>1299</v>
      </c>
      <c r="C133" s="446">
        <v>0</v>
      </c>
      <c r="E133" t="s">
        <v>1172</v>
      </c>
      <c r="F133" t="s">
        <v>1172</v>
      </c>
      <c r="G133" t="s">
        <v>1172</v>
      </c>
      <c r="H133" t="s">
        <v>1172</v>
      </c>
    </row>
    <row r="134" spans="1:8">
      <c r="A134">
        <v>48</v>
      </c>
      <c r="B134" t="s">
        <v>1300</v>
      </c>
      <c r="C134" s="446">
        <v>0</v>
      </c>
      <c r="E134" t="s">
        <v>1172</v>
      </c>
      <c r="F134" t="s">
        <v>1172</v>
      </c>
      <c r="G134" t="s">
        <v>1172</v>
      </c>
      <c r="H134" t="s">
        <v>1172</v>
      </c>
    </row>
    <row r="135" spans="1:8">
      <c r="A135">
        <v>48</v>
      </c>
      <c r="B135" t="s">
        <v>1301</v>
      </c>
      <c r="C135" s="446">
        <v>0</v>
      </c>
      <c r="E135" t="s">
        <v>1172</v>
      </c>
      <c r="F135" t="s">
        <v>1172</v>
      </c>
      <c r="G135" t="s">
        <v>1172</v>
      </c>
      <c r="H135" t="s">
        <v>1172</v>
      </c>
    </row>
    <row r="136" spans="1:8">
      <c r="A136">
        <v>48</v>
      </c>
      <c r="B136" t="s">
        <v>1302</v>
      </c>
      <c r="C136" s="446">
        <v>416666.6667</v>
      </c>
      <c r="E136" t="s">
        <v>1172</v>
      </c>
      <c r="F136" t="s">
        <v>1172</v>
      </c>
      <c r="G136" t="s">
        <v>1172</v>
      </c>
      <c r="H136" t="s">
        <v>1172</v>
      </c>
    </row>
    <row r="137" spans="1:8">
      <c r="A137">
        <v>48</v>
      </c>
      <c r="B137" t="s">
        <v>1303</v>
      </c>
      <c r="C137" s="446">
        <v>0</v>
      </c>
      <c r="E137" t="s">
        <v>1172</v>
      </c>
      <c r="F137" t="s">
        <v>1172</v>
      </c>
      <c r="G137" t="s">
        <v>1172</v>
      </c>
      <c r="H137" t="s">
        <v>1172</v>
      </c>
    </row>
    <row r="138" spans="1:8">
      <c r="A138">
        <v>48</v>
      </c>
      <c r="B138" t="s">
        <v>1304</v>
      </c>
      <c r="C138" s="446">
        <v>0</v>
      </c>
      <c r="E138" t="s">
        <v>1172</v>
      </c>
      <c r="F138" t="s">
        <v>1172</v>
      </c>
      <c r="G138" t="s">
        <v>1172</v>
      </c>
      <c r="H138" t="s">
        <v>1172</v>
      </c>
    </row>
    <row r="139" spans="1:8">
      <c r="A139">
        <v>48</v>
      </c>
      <c r="B139" t="s">
        <v>1305</v>
      </c>
      <c r="C139" s="446">
        <v>11637.5</v>
      </c>
      <c r="E139" t="s">
        <v>1172</v>
      </c>
      <c r="F139" t="s">
        <v>1172</v>
      </c>
      <c r="G139" t="s">
        <v>1172</v>
      </c>
      <c r="H139" t="s">
        <v>1172</v>
      </c>
    </row>
    <row r="140" spans="1:8">
      <c r="A140">
        <v>48</v>
      </c>
      <c r="B140" t="s">
        <v>1306</v>
      </c>
      <c r="C140" s="446">
        <v>433386.13</v>
      </c>
      <c r="E140" t="s">
        <v>1172</v>
      </c>
      <c r="F140" t="s">
        <v>1172</v>
      </c>
      <c r="G140" t="s">
        <v>1172</v>
      </c>
      <c r="H140" t="s">
        <v>1172</v>
      </c>
    </row>
    <row r="141" spans="1:8">
      <c r="A141">
        <v>48</v>
      </c>
      <c r="B141" t="s">
        <v>1307</v>
      </c>
      <c r="C141" s="446">
        <v>0</v>
      </c>
      <c r="E141" t="s">
        <v>1172</v>
      </c>
      <c r="F141" t="s">
        <v>1172</v>
      </c>
      <c r="G141" t="s">
        <v>1172</v>
      </c>
      <c r="H141" t="s">
        <v>1172</v>
      </c>
    </row>
    <row r="142" spans="1:8">
      <c r="A142">
        <v>48</v>
      </c>
      <c r="B142" t="s">
        <v>1308</v>
      </c>
      <c r="C142" s="446">
        <v>2509639.4196000001</v>
      </c>
      <c r="E142" t="s">
        <v>1172</v>
      </c>
      <c r="F142" t="s">
        <v>1172</v>
      </c>
      <c r="G142" t="s">
        <v>1172</v>
      </c>
      <c r="H142" t="s">
        <v>1172</v>
      </c>
    </row>
    <row r="143" spans="1:8">
      <c r="A143">
        <v>48</v>
      </c>
      <c r="B143" t="s">
        <v>1309</v>
      </c>
      <c r="C143" s="446">
        <v>25704819.489999998</v>
      </c>
      <c r="E143" t="s">
        <v>1172</v>
      </c>
      <c r="F143" t="s">
        <v>1172</v>
      </c>
      <c r="G143" t="s">
        <v>1172</v>
      </c>
      <c r="H143" t="s">
        <v>1172</v>
      </c>
    </row>
    <row r="144" spans="1:8">
      <c r="A144">
        <v>48</v>
      </c>
      <c r="B144" t="s">
        <v>1310</v>
      </c>
      <c r="C144" s="446">
        <v>0</v>
      </c>
      <c r="E144" t="s">
        <v>1172</v>
      </c>
      <c r="F144" t="s">
        <v>1172</v>
      </c>
      <c r="G144" t="s">
        <v>1172</v>
      </c>
      <c r="H144" t="s">
        <v>1172</v>
      </c>
    </row>
    <row r="145" spans="1:8">
      <c r="A145">
        <v>48</v>
      </c>
      <c r="B145" t="s">
        <v>1311</v>
      </c>
      <c r="C145" s="446">
        <v>0</v>
      </c>
      <c r="E145" t="s">
        <v>1172</v>
      </c>
      <c r="F145" t="s">
        <v>1172</v>
      </c>
      <c r="G145" t="s">
        <v>1172</v>
      </c>
      <c r="H145" t="s">
        <v>1172</v>
      </c>
    </row>
    <row r="146" spans="1:8">
      <c r="A146">
        <v>48</v>
      </c>
      <c r="B146" t="s">
        <v>1312</v>
      </c>
      <c r="C146" s="446">
        <v>0</v>
      </c>
      <c r="E146" t="s">
        <v>1172</v>
      </c>
      <c r="F146" t="s">
        <v>1172</v>
      </c>
      <c r="G146" t="s">
        <v>1172</v>
      </c>
      <c r="H146" t="s">
        <v>1172</v>
      </c>
    </row>
    <row r="147" spans="1:8">
      <c r="A147">
        <v>48</v>
      </c>
      <c r="B147" t="s">
        <v>1313</v>
      </c>
      <c r="C147" s="446">
        <v>0</v>
      </c>
      <c r="E147" t="s">
        <v>1172</v>
      </c>
      <c r="F147" t="s">
        <v>1172</v>
      </c>
      <c r="G147" t="s">
        <v>1172</v>
      </c>
      <c r="H147" t="s">
        <v>1172</v>
      </c>
    </row>
    <row r="148" spans="1:8">
      <c r="A148">
        <v>48</v>
      </c>
      <c r="B148" t="s">
        <v>1314</v>
      </c>
      <c r="C148" s="446">
        <v>37.840000000000003</v>
      </c>
      <c r="E148" t="s">
        <v>1172</v>
      </c>
      <c r="F148" t="s">
        <v>1172</v>
      </c>
      <c r="G148" t="s">
        <v>1172</v>
      </c>
      <c r="H148" t="s">
        <v>1172</v>
      </c>
    </row>
    <row r="149" spans="1:8">
      <c r="A149">
        <v>48</v>
      </c>
      <c r="B149" t="s">
        <v>1315</v>
      </c>
      <c r="C149" s="446">
        <v>0</v>
      </c>
      <c r="E149" t="s">
        <v>1172</v>
      </c>
      <c r="F149" t="s">
        <v>1172</v>
      </c>
      <c r="G149" t="s">
        <v>1172</v>
      </c>
      <c r="H149" t="s">
        <v>1172</v>
      </c>
    </row>
    <row r="150" spans="1:8">
      <c r="A150">
        <v>48</v>
      </c>
      <c r="B150" t="s">
        <v>1316</v>
      </c>
      <c r="C150" s="446">
        <v>1713133.53</v>
      </c>
      <c r="E150" t="s">
        <v>1172</v>
      </c>
      <c r="F150" t="s">
        <v>1172</v>
      </c>
      <c r="G150" t="s">
        <v>1172</v>
      </c>
      <c r="H150" t="s">
        <v>1172</v>
      </c>
    </row>
    <row r="151" spans="1:8">
      <c r="A151">
        <v>48</v>
      </c>
      <c r="B151" t="s">
        <v>1317</v>
      </c>
      <c r="C151" s="446">
        <v>0</v>
      </c>
      <c r="E151" t="s">
        <v>1172</v>
      </c>
      <c r="F151" t="s">
        <v>1172</v>
      </c>
      <c r="G151" t="s">
        <v>1172</v>
      </c>
      <c r="H151" t="s">
        <v>1172</v>
      </c>
    </row>
    <row r="152" spans="1:8">
      <c r="A152">
        <v>48</v>
      </c>
      <c r="B152" t="s">
        <v>1318</v>
      </c>
      <c r="C152" s="446">
        <v>27417990.859999999</v>
      </c>
      <c r="E152" t="s">
        <v>1172</v>
      </c>
      <c r="F152" t="s">
        <v>1172</v>
      </c>
      <c r="G152" t="s">
        <v>1172</v>
      </c>
      <c r="H152" t="s">
        <v>1172</v>
      </c>
    </row>
    <row r="153" spans="1:8">
      <c r="A153">
        <v>48</v>
      </c>
      <c r="B153" t="s">
        <v>1318</v>
      </c>
      <c r="C153" s="446">
        <v>27417990.859999999</v>
      </c>
      <c r="E153" t="s">
        <v>1172</v>
      </c>
      <c r="F153" t="s">
        <v>1172</v>
      </c>
      <c r="G153" t="s">
        <v>1172</v>
      </c>
      <c r="H153" t="s">
        <v>1172</v>
      </c>
    </row>
    <row r="154" spans="1:8">
      <c r="A154">
        <v>48</v>
      </c>
      <c r="B154" t="s">
        <v>1319</v>
      </c>
      <c r="C154" s="446">
        <v>0</v>
      </c>
      <c r="E154" t="s">
        <v>1172</v>
      </c>
      <c r="F154" t="s">
        <v>1172</v>
      </c>
      <c r="G154" t="s">
        <v>1172</v>
      </c>
      <c r="H154" t="s">
        <v>1172</v>
      </c>
    </row>
    <row r="155" spans="1:8">
      <c r="A155">
        <v>48</v>
      </c>
      <c r="B155" t="s">
        <v>1320</v>
      </c>
      <c r="C155" s="446">
        <v>27417990.859999999</v>
      </c>
      <c r="E155" t="s">
        <v>1172</v>
      </c>
      <c r="F155" t="s">
        <v>1172</v>
      </c>
      <c r="G155" t="s">
        <v>1172</v>
      </c>
      <c r="H155" t="s">
        <v>1172</v>
      </c>
    </row>
    <row r="156" spans="1:8">
      <c r="A156">
        <v>48</v>
      </c>
      <c r="B156" t="s">
        <v>225</v>
      </c>
      <c r="C156" s="446">
        <v>0</v>
      </c>
      <c r="E156" t="s">
        <v>1172</v>
      </c>
      <c r="F156" t="s">
        <v>1172</v>
      </c>
      <c r="G156" t="s">
        <v>1172</v>
      </c>
      <c r="H156" t="s">
        <v>1172</v>
      </c>
    </row>
    <row r="157" spans="1:8">
      <c r="A157">
        <v>48</v>
      </c>
      <c r="B157" t="s">
        <v>1321</v>
      </c>
      <c r="C157" s="446">
        <v>0</v>
      </c>
      <c r="E157" t="s">
        <v>1172</v>
      </c>
      <c r="F157" t="s">
        <v>1172</v>
      </c>
      <c r="G157" t="s">
        <v>1172</v>
      </c>
      <c r="H157" t="s">
        <v>1172</v>
      </c>
    </row>
    <row r="158" spans="1:8">
      <c r="A158">
        <v>48</v>
      </c>
      <c r="B158" t="s">
        <v>1322</v>
      </c>
      <c r="C158" s="446">
        <v>27417983</v>
      </c>
      <c r="E158" t="s">
        <v>1172</v>
      </c>
      <c r="F158" t="s">
        <v>1172</v>
      </c>
      <c r="G158" t="s">
        <v>1172</v>
      </c>
      <c r="H158" t="s">
        <v>1172</v>
      </c>
    </row>
    <row r="159" spans="1:8">
      <c r="A159">
        <v>48</v>
      </c>
      <c r="B159" t="s">
        <v>1323</v>
      </c>
      <c r="C159" s="446">
        <v>0</v>
      </c>
      <c r="E159" t="s">
        <v>1172</v>
      </c>
      <c r="F159" t="s">
        <v>1172</v>
      </c>
      <c r="G159" t="s">
        <v>1172</v>
      </c>
      <c r="H159" t="s">
        <v>1172</v>
      </c>
    </row>
    <row r="160" spans="1:8">
      <c r="A160">
        <v>48</v>
      </c>
      <c r="B160" t="s">
        <v>1324</v>
      </c>
      <c r="C160" s="446">
        <v>0</v>
      </c>
      <c r="E160" t="s">
        <v>1172</v>
      </c>
      <c r="F160" t="s">
        <v>1172</v>
      </c>
      <c r="G160" t="s">
        <v>1172</v>
      </c>
      <c r="H160" t="s">
        <v>1172</v>
      </c>
    </row>
    <row r="161" spans="1:8">
      <c r="A161">
        <v>48</v>
      </c>
      <c r="B161" t="s">
        <v>1325</v>
      </c>
      <c r="C161" s="446">
        <v>0</v>
      </c>
      <c r="E161" t="s">
        <v>1172</v>
      </c>
      <c r="F161" t="s">
        <v>1172</v>
      </c>
      <c r="G161" t="s">
        <v>1172</v>
      </c>
      <c r="H161" t="s">
        <v>1172</v>
      </c>
    </row>
    <row r="162" spans="1:8">
      <c r="A162">
        <v>48</v>
      </c>
      <c r="B162" t="s">
        <v>1326</v>
      </c>
      <c r="C162" s="446">
        <v>0</v>
      </c>
      <c r="E162" t="s">
        <v>1172</v>
      </c>
      <c r="F162" t="s">
        <v>1172</v>
      </c>
      <c r="G162" t="s">
        <v>1172</v>
      </c>
      <c r="H162" t="s">
        <v>1172</v>
      </c>
    </row>
    <row r="163" spans="1:8">
      <c r="A163">
        <v>48</v>
      </c>
      <c r="B163" t="s">
        <v>1327</v>
      </c>
      <c r="C163" s="446">
        <v>0</v>
      </c>
      <c r="E163" t="s">
        <v>1172</v>
      </c>
      <c r="F163" t="s">
        <v>1172</v>
      </c>
      <c r="G163" t="s">
        <v>1172</v>
      </c>
      <c r="H163" t="s">
        <v>1172</v>
      </c>
    </row>
    <row r="164" spans="1:8">
      <c r="A164">
        <v>48</v>
      </c>
      <c r="B164" t="s">
        <v>1328</v>
      </c>
      <c r="C164" s="446">
        <v>0</v>
      </c>
      <c r="E164" t="s">
        <v>1172</v>
      </c>
      <c r="F164" t="s">
        <v>1172</v>
      </c>
      <c r="G164" t="s">
        <v>1172</v>
      </c>
      <c r="H164" t="s">
        <v>1172</v>
      </c>
    </row>
    <row r="165" spans="1:8">
      <c r="A165">
        <v>48</v>
      </c>
      <c r="B165" t="s">
        <v>1329</v>
      </c>
      <c r="C165" s="446">
        <v>0</v>
      </c>
      <c r="E165" t="s">
        <v>1172</v>
      </c>
      <c r="F165" t="s">
        <v>1172</v>
      </c>
      <c r="G165" t="s">
        <v>1172</v>
      </c>
      <c r="H165" t="s">
        <v>1172</v>
      </c>
    </row>
    <row r="166" spans="1:8">
      <c r="A166">
        <v>48</v>
      </c>
      <c r="B166" t="s">
        <v>1330</v>
      </c>
      <c r="C166" s="446">
        <v>0</v>
      </c>
      <c r="E166" t="s">
        <v>1172</v>
      </c>
      <c r="F166" t="s">
        <v>1172</v>
      </c>
      <c r="G166" t="s">
        <v>1172</v>
      </c>
      <c r="H166" t="s">
        <v>1172</v>
      </c>
    </row>
    <row r="167" spans="1:8">
      <c r="A167">
        <v>48</v>
      </c>
      <c r="B167" t="s">
        <v>1331</v>
      </c>
      <c r="C167" s="446">
        <v>0</v>
      </c>
      <c r="E167" t="s">
        <v>1172</v>
      </c>
      <c r="F167" t="s">
        <v>1172</v>
      </c>
      <c r="G167" t="s">
        <v>1172</v>
      </c>
      <c r="H167" t="s">
        <v>1172</v>
      </c>
    </row>
    <row r="168" spans="1:8">
      <c r="A168">
        <v>48</v>
      </c>
      <c r="B168" t="s">
        <v>1332</v>
      </c>
      <c r="C168" s="446">
        <v>0</v>
      </c>
      <c r="E168" t="s">
        <v>1172</v>
      </c>
      <c r="F168" t="s">
        <v>1172</v>
      </c>
      <c r="G168" t="s">
        <v>1172</v>
      </c>
      <c r="H168" t="s">
        <v>1172</v>
      </c>
    </row>
    <row r="169" spans="1:8">
      <c r="A169">
        <v>48</v>
      </c>
      <c r="B169" t="s">
        <v>1333</v>
      </c>
      <c r="C169" s="446">
        <v>0</v>
      </c>
      <c r="E169" t="s">
        <v>1172</v>
      </c>
      <c r="F169" t="s">
        <v>1172</v>
      </c>
      <c r="G169" t="s">
        <v>1172</v>
      </c>
      <c r="H169" t="s">
        <v>1172</v>
      </c>
    </row>
    <row r="170" spans="1:8">
      <c r="A170">
        <v>48</v>
      </c>
      <c r="B170" t="s">
        <v>1334</v>
      </c>
      <c r="C170" s="446">
        <v>0</v>
      </c>
      <c r="E170" t="s">
        <v>1172</v>
      </c>
      <c r="F170" t="s">
        <v>1172</v>
      </c>
      <c r="G170" t="s">
        <v>1172</v>
      </c>
      <c r="H170" t="s">
        <v>1172</v>
      </c>
    </row>
    <row r="171" spans="1:8">
      <c r="A171">
        <v>48</v>
      </c>
      <c r="B171" t="s">
        <v>1335</v>
      </c>
      <c r="C171" s="446">
        <v>0</v>
      </c>
      <c r="E171" t="s">
        <v>1172</v>
      </c>
      <c r="F171" t="s">
        <v>1172</v>
      </c>
      <c r="G171" t="s">
        <v>1172</v>
      </c>
      <c r="H171" t="s">
        <v>1172</v>
      </c>
    </row>
    <row r="172" spans="1:8">
      <c r="A172">
        <v>48</v>
      </c>
      <c r="B172" t="s">
        <v>1336</v>
      </c>
      <c r="C172" s="446">
        <v>7.86</v>
      </c>
      <c r="E172" t="s">
        <v>1172</v>
      </c>
      <c r="F172" t="s">
        <v>1172</v>
      </c>
      <c r="G172" t="s">
        <v>1172</v>
      </c>
      <c r="H172" t="s">
        <v>1172</v>
      </c>
    </row>
    <row r="173" spans="1:8">
      <c r="A173">
        <v>48</v>
      </c>
      <c r="B173" t="s">
        <v>1337</v>
      </c>
      <c r="C173" s="446">
        <v>0</v>
      </c>
      <c r="E173" t="s">
        <v>1172</v>
      </c>
      <c r="F173" t="s">
        <v>1172</v>
      </c>
      <c r="G173" t="s">
        <v>1172</v>
      </c>
      <c r="H173" t="s">
        <v>1172</v>
      </c>
    </row>
    <row r="174" spans="1:8">
      <c r="A174">
        <v>48</v>
      </c>
      <c r="B174" t="s">
        <v>1286</v>
      </c>
      <c r="C174" s="446">
        <v>416.67</v>
      </c>
      <c r="E174" t="s">
        <v>1172</v>
      </c>
      <c r="F174" t="s">
        <v>1172</v>
      </c>
      <c r="G174" t="s">
        <v>1172</v>
      </c>
      <c r="H174" t="s">
        <v>1172</v>
      </c>
    </row>
    <row r="175" spans="1:8">
      <c r="A175">
        <v>48</v>
      </c>
      <c r="B175" t="s">
        <v>1338</v>
      </c>
      <c r="C175" s="446">
        <v>2083669.5</v>
      </c>
      <c r="E175" t="s">
        <v>1172</v>
      </c>
      <c r="F175" t="s">
        <v>1172</v>
      </c>
      <c r="G175" t="s">
        <v>1172</v>
      </c>
      <c r="H175" t="s">
        <v>1172</v>
      </c>
    </row>
    <row r="176" spans="1:8">
      <c r="A176">
        <v>48</v>
      </c>
      <c r="B176" t="s">
        <v>1339</v>
      </c>
      <c r="C176" s="446">
        <v>1641105.75</v>
      </c>
      <c r="E176" t="s">
        <v>1172</v>
      </c>
      <c r="F176" t="s">
        <v>1172</v>
      </c>
      <c r="G176" t="s">
        <v>1172</v>
      </c>
      <c r="H176" t="s">
        <v>1172</v>
      </c>
    </row>
    <row r="177" spans="1:8">
      <c r="A177">
        <v>48</v>
      </c>
      <c r="B177" t="s">
        <v>1340</v>
      </c>
      <c r="C177" s="446">
        <v>139626</v>
      </c>
      <c r="E177" t="s">
        <v>1172</v>
      </c>
      <c r="F177" t="s">
        <v>1172</v>
      </c>
      <c r="G177" t="s">
        <v>1172</v>
      </c>
      <c r="H177" t="s">
        <v>1172</v>
      </c>
    </row>
    <row r="178" spans="1:8">
      <c r="A178">
        <v>48</v>
      </c>
      <c r="B178" t="s">
        <v>1341</v>
      </c>
      <c r="C178" s="446">
        <v>83213</v>
      </c>
      <c r="E178" t="s">
        <v>1172</v>
      </c>
      <c r="F178" t="s">
        <v>1172</v>
      </c>
      <c r="G178" t="s">
        <v>1172</v>
      </c>
      <c r="H178" t="s">
        <v>1172</v>
      </c>
    </row>
    <row r="179" spans="1:8">
      <c r="A179">
        <v>48</v>
      </c>
      <c r="B179" t="s">
        <v>1342</v>
      </c>
      <c r="C179" s="446">
        <v>76829.5</v>
      </c>
      <c r="E179" t="s">
        <v>1172</v>
      </c>
      <c r="F179" t="s">
        <v>1172</v>
      </c>
      <c r="G179" t="s">
        <v>1172</v>
      </c>
      <c r="H179" t="s">
        <v>1172</v>
      </c>
    </row>
    <row r="180" spans="1:8">
      <c r="A180">
        <v>48</v>
      </c>
      <c r="B180" t="s">
        <v>1343</v>
      </c>
      <c r="C180" s="446">
        <v>109980.75</v>
      </c>
      <c r="E180" t="s">
        <v>1172</v>
      </c>
      <c r="F180" t="s">
        <v>1172</v>
      </c>
      <c r="G180" t="s">
        <v>1172</v>
      </c>
      <c r="H180" t="s">
        <v>1172</v>
      </c>
    </row>
    <row r="181" spans="1:8">
      <c r="A181">
        <v>48</v>
      </c>
      <c r="B181" t="s">
        <v>1344</v>
      </c>
      <c r="C181" s="446">
        <v>21277</v>
      </c>
      <c r="E181" t="s">
        <v>1172</v>
      </c>
      <c r="F181" t="s">
        <v>1172</v>
      </c>
      <c r="G181" t="s">
        <v>1172</v>
      </c>
      <c r="H181" t="s">
        <v>1172</v>
      </c>
    </row>
    <row r="182" spans="1:8">
      <c r="A182">
        <v>48</v>
      </c>
      <c r="B182" t="s">
        <v>1345</v>
      </c>
      <c r="C182" s="446">
        <v>11637.5</v>
      </c>
      <c r="E182" t="s">
        <v>1172</v>
      </c>
      <c r="F182" t="s">
        <v>1172</v>
      </c>
      <c r="G182" t="s">
        <v>1172</v>
      </c>
      <c r="H182" t="s">
        <v>1172</v>
      </c>
    </row>
    <row r="183" spans="1:8">
      <c r="A183">
        <v>48</v>
      </c>
      <c r="B183" t="s">
        <v>1346</v>
      </c>
      <c r="C183" s="446">
        <v>22086090.670000002</v>
      </c>
      <c r="E183" t="s">
        <v>1172</v>
      </c>
      <c r="F183" t="s">
        <v>1172</v>
      </c>
      <c r="G183" t="s">
        <v>1172</v>
      </c>
      <c r="H183" t="s">
        <v>1172</v>
      </c>
    </row>
    <row r="184" spans="1:8">
      <c r="A184">
        <v>48</v>
      </c>
      <c r="B184" t="s">
        <v>1347</v>
      </c>
      <c r="C184" s="446">
        <v>17683148.25</v>
      </c>
      <c r="E184" t="s">
        <v>1172</v>
      </c>
      <c r="F184" t="s">
        <v>1172</v>
      </c>
      <c r="G184" t="s">
        <v>1172</v>
      </c>
      <c r="H184" t="s">
        <v>1172</v>
      </c>
    </row>
    <row r="185" spans="1:8">
      <c r="A185">
        <v>48</v>
      </c>
      <c r="B185" t="s">
        <v>1348</v>
      </c>
      <c r="C185" s="446">
        <v>1420740</v>
      </c>
      <c r="E185" t="s">
        <v>1172</v>
      </c>
      <c r="F185" t="s">
        <v>1172</v>
      </c>
      <c r="G185" t="s">
        <v>1172</v>
      </c>
      <c r="H185" t="s">
        <v>1172</v>
      </c>
    </row>
    <row r="186" spans="1:8">
      <c r="A186">
        <v>48</v>
      </c>
      <c r="B186" t="s">
        <v>1349</v>
      </c>
      <c r="C186" s="446">
        <v>833485.25</v>
      </c>
      <c r="E186" t="s">
        <v>1172</v>
      </c>
      <c r="F186" t="s">
        <v>1172</v>
      </c>
      <c r="G186" t="s">
        <v>1172</v>
      </c>
      <c r="H186" t="s">
        <v>1172</v>
      </c>
    </row>
    <row r="187" spans="1:8">
      <c r="A187">
        <v>48</v>
      </c>
      <c r="B187" t="s">
        <v>1350</v>
      </c>
      <c r="C187" s="446">
        <v>759343.75</v>
      </c>
      <c r="E187" t="s">
        <v>1172</v>
      </c>
      <c r="F187" t="s">
        <v>1172</v>
      </c>
      <c r="G187" t="s">
        <v>1172</v>
      </c>
      <c r="H187" t="s">
        <v>1172</v>
      </c>
    </row>
    <row r="188" spans="1:8">
      <c r="A188">
        <v>48</v>
      </c>
      <c r="B188" t="s">
        <v>1351</v>
      </c>
      <c r="C188" s="446">
        <v>1038774</v>
      </c>
      <c r="E188" t="s">
        <v>1172</v>
      </c>
      <c r="F188" t="s">
        <v>1172</v>
      </c>
      <c r="G188" t="s">
        <v>1172</v>
      </c>
      <c r="H188" t="s">
        <v>1172</v>
      </c>
    </row>
    <row r="189" spans="1:8">
      <c r="A189">
        <v>48</v>
      </c>
      <c r="B189" t="s">
        <v>1352</v>
      </c>
      <c r="C189" s="446">
        <v>252376</v>
      </c>
      <c r="E189" t="s">
        <v>1172</v>
      </c>
      <c r="F189" t="s">
        <v>1172</v>
      </c>
      <c r="G189" t="s">
        <v>1172</v>
      </c>
      <c r="H189" t="s">
        <v>1172</v>
      </c>
    </row>
    <row r="190" spans="1:8">
      <c r="A190">
        <v>48</v>
      </c>
      <c r="B190" t="s">
        <v>1353</v>
      </c>
      <c r="C190" s="446">
        <v>98223.42</v>
      </c>
      <c r="E190" t="s">
        <v>1172</v>
      </c>
      <c r="F190" t="s">
        <v>1172</v>
      </c>
      <c r="G190" t="s">
        <v>1172</v>
      </c>
      <c r="H190" t="s">
        <v>1172</v>
      </c>
    </row>
    <row r="191" spans="1:8">
      <c r="A191">
        <v>48</v>
      </c>
      <c r="B191" t="s">
        <v>1354</v>
      </c>
      <c r="C191" s="446">
        <v>2083669.5</v>
      </c>
      <c r="E191" t="s">
        <v>1172</v>
      </c>
      <c r="F191" t="s">
        <v>1172</v>
      </c>
      <c r="G191" t="s">
        <v>1172</v>
      </c>
      <c r="H191" t="s">
        <v>1172</v>
      </c>
    </row>
    <row r="192" spans="1:8">
      <c r="A192">
        <v>48</v>
      </c>
      <c r="B192" t="s">
        <v>1355</v>
      </c>
      <c r="C192" s="446">
        <v>1641105.75</v>
      </c>
      <c r="E192" t="s">
        <v>1172</v>
      </c>
      <c r="F192" t="s">
        <v>1172</v>
      </c>
      <c r="G192" t="s">
        <v>1172</v>
      </c>
      <c r="H192" t="s">
        <v>1172</v>
      </c>
    </row>
    <row r="193" spans="1:8">
      <c r="A193">
        <v>48</v>
      </c>
      <c r="B193" t="s">
        <v>1356</v>
      </c>
      <c r="C193" s="446">
        <v>139626</v>
      </c>
      <c r="E193" t="s">
        <v>1172</v>
      </c>
      <c r="F193" t="s">
        <v>1172</v>
      </c>
      <c r="G193" t="s">
        <v>1172</v>
      </c>
      <c r="H193" t="s">
        <v>1172</v>
      </c>
    </row>
    <row r="194" spans="1:8">
      <c r="A194">
        <v>48</v>
      </c>
      <c r="B194" t="s">
        <v>1357</v>
      </c>
      <c r="C194" s="446">
        <v>83213</v>
      </c>
      <c r="E194" t="s">
        <v>1172</v>
      </c>
      <c r="F194" t="s">
        <v>1172</v>
      </c>
      <c r="G194" t="s">
        <v>1172</v>
      </c>
      <c r="H194" t="s">
        <v>1172</v>
      </c>
    </row>
    <row r="195" spans="1:8">
      <c r="A195">
        <v>48</v>
      </c>
      <c r="B195" t="s">
        <v>1358</v>
      </c>
      <c r="C195" s="446">
        <v>76829.5</v>
      </c>
      <c r="E195" t="s">
        <v>1172</v>
      </c>
      <c r="F195" t="s">
        <v>1172</v>
      </c>
      <c r="G195" t="s">
        <v>1172</v>
      </c>
      <c r="H195" t="s">
        <v>1172</v>
      </c>
    </row>
    <row r="196" spans="1:8">
      <c r="A196">
        <v>48</v>
      </c>
      <c r="B196" t="s">
        <v>1359</v>
      </c>
      <c r="C196" s="446">
        <v>109980.75</v>
      </c>
      <c r="E196" t="s">
        <v>1172</v>
      </c>
      <c r="F196" t="s">
        <v>1172</v>
      </c>
      <c r="G196" t="s">
        <v>1172</v>
      </c>
      <c r="H196" t="s">
        <v>1172</v>
      </c>
    </row>
    <row r="197" spans="1:8">
      <c r="A197">
        <v>48</v>
      </c>
      <c r="B197" t="s">
        <v>1360</v>
      </c>
      <c r="C197" s="446">
        <v>21277</v>
      </c>
      <c r="E197" t="s">
        <v>1172</v>
      </c>
      <c r="F197" t="s">
        <v>1172</v>
      </c>
      <c r="G197" t="s">
        <v>1172</v>
      </c>
      <c r="H197" t="s">
        <v>1172</v>
      </c>
    </row>
    <row r="198" spans="1:8">
      <c r="A198">
        <v>48</v>
      </c>
      <c r="B198" t="s">
        <v>1361</v>
      </c>
      <c r="C198" s="446">
        <v>11637.5</v>
      </c>
      <c r="E198" t="s">
        <v>1172</v>
      </c>
      <c r="F198" t="s">
        <v>1172</v>
      </c>
      <c r="G198" t="s">
        <v>1172</v>
      </c>
      <c r="H198" t="s">
        <v>1172</v>
      </c>
    </row>
    <row r="199" spans="1:8">
      <c r="A199">
        <v>48</v>
      </c>
      <c r="B199" t="s">
        <v>1362</v>
      </c>
      <c r="C199" s="446">
        <v>22086090.670000002</v>
      </c>
      <c r="E199" t="s">
        <v>1172</v>
      </c>
      <c r="F199" t="s">
        <v>1172</v>
      </c>
      <c r="G199" t="s">
        <v>1172</v>
      </c>
      <c r="H199" t="s">
        <v>1172</v>
      </c>
    </row>
    <row r="200" spans="1:8">
      <c r="A200">
        <v>48</v>
      </c>
      <c r="B200" t="s">
        <v>1363</v>
      </c>
      <c r="C200" s="446">
        <v>17683148.25</v>
      </c>
      <c r="E200" t="s">
        <v>1172</v>
      </c>
      <c r="F200" t="s">
        <v>1172</v>
      </c>
      <c r="G200" t="s">
        <v>1172</v>
      </c>
      <c r="H200" t="s">
        <v>1172</v>
      </c>
    </row>
    <row r="201" spans="1:8">
      <c r="A201">
        <v>48</v>
      </c>
      <c r="B201" t="s">
        <v>1364</v>
      </c>
      <c r="C201" s="446">
        <v>1420740</v>
      </c>
      <c r="E201" t="s">
        <v>1172</v>
      </c>
      <c r="F201" t="s">
        <v>1172</v>
      </c>
      <c r="G201" t="s">
        <v>1172</v>
      </c>
      <c r="H201" t="s">
        <v>1172</v>
      </c>
    </row>
    <row r="202" spans="1:8">
      <c r="A202">
        <v>48</v>
      </c>
      <c r="B202" t="s">
        <v>1365</v>
      </c>
      <c r="C202" s="446">
        <v>833485.25</v>
      </c>
      <c r="E202" t="s">
        <v>1172</v>
      </c>
      <c r="F202" t="s">
        <v>1172</v>
      </c>
      <c r="G202" t="s">
        <v>1172</v>
      </c>
      <c r="H202" t="s">
        <v>1172</v>
      </c>
    </row>
    <row r="203" spans="1:8">
      <c r="A203">
        <v>48</v>
      </c>
      <c r="B203" t="s">
        <v>1366</v>
      </c>
      <c r="C203" s="446">
        <v>759343.75</v>
      </c>
      <c r="E203" t="s">
        <v>1172</v>
      </c>
      <c r="F203" t="s">
        <v>1172</v>
      </c>
      <c r="G203" t="s">
        <v>1172</v>
      </c>
      <c r="H203" t="s">
        <v>1172</v>
      </c>
    </row>
    <row r="204" spans="1:8">
      <c r="A204">
        <v>48</v>
      </c>
      <c r="B204" t="s">
        <v>1367</v>
      </c>
      <c r="C204" s="446">
        <v>1038774</v>
      </c>
      <c r="E204" t="s">
        <v>1172</v>
      </c>
      <c r="F204" t="s">
        <v>1172</v>
      </c>
      <c r="G204" t="s">
        <v>1172</v>
      </c>
      <c r="H204" t="s">
        <v>1172</v>
      </c>
    </row>
    <row r="205" spans="1:8">
      <c r="A205">
        <v>48</v>
      </c>
      <c r="B205" t="s">
        <v>1368</v>
      </c>
      <c r="C205" s="446">
        <v>252376</v>
      </c>
      <c r="E205" t="s">
        <v>1172</v>
      </c>
      <c r="F205" t="s">
        <v>1172</v>
      </c>
      <c r="G205" t="s">
        <v>1172</v>
      </c>
      <c r="H205" t="s">
        <v>1172</v>
      </c>
    </row>
    <row r="206" spans="1:8">
      <c r="A206">
        <v>48</v>
      </c>
      <c r="B206" t="s">
        <v>1369</v>
      </c>
      <c r="C206" s="446">
        <v>98223.42</v>
      </c>
      <c r="E206" t="s">
        <v>1172</v>
      </c>
      <c r="F206" t="s">
        <v>1172</v>
      </c>
      <c r="G206" t="s">
        <v>1172</v>
      </c>
      <c r="H206" t="s">
        <v>1172</v>
      </c>
    </row>
    <row r="207" spans="1:8">
      <c r="A207">
        <v>48</v>
      </c>
      <c r="B207" t="s">
        <v>1370</v>
      </c>
      <c r="C207" s="446">
        <v>0</v>
      </c>
      <c r="E207" t="s">
        <v>1172</v>
      </c>
      <c r="F207" t="s">
        <v>1172</v>
      </c>
      <c r="G207" t="s">
        <v>1172</v>
      </c>
      <c r="H207" t="s">
        <v>1172</v>
      </c>
    </row>
    <row r="208" spans="1:8">
      <c r="A208">
        <v>48</v>
      </c>
      <c r="B208" t="s">
        <v>1371</v>
      </c>
      <c r="C208" s="446">
        <v>0</v>
      </c>
      <c r="E208" t="s">
        <v>1172</v>
      </c>
      <c r="F208" t="s">
        <v>1172</v>
      </c>
      <c r="G208" t="s">
        <v>1172</v>
      </c>
      <c r="H208" t="s">
        <v>1172</v>
      </c>
    </row>
    <row r="209" spans="1:8">
      <c r="A209">
        <v>48</v>
      </c>
      <c r="B209" t="s">
        <v>1372</v>
      </c>
      <c r="C209" s="446">
        <v>0</v>
      </c>
      <c r="E209" t="s">
        <v>1172</v>
      </c>
      <c r="F209" t="s">
        <v>1172</v>
      </c>
      <c r="G209" t="s">
        <v>1172</v>
      </c>
      <c r="H209" t="s">
        <v>1172</v>
      </c>
    </row>
    <row r="210" spans="1:8">
      <c r="A210">
        <v>48</v>
      </c>
      <c r="B210" t="s">
        <v>1373</v>
      </c>
      <c r="C210" s="446">
        <v>0</v>
      </c>
      <c r="E210" t="s">
        <v>1172</v>
      </c>
      <c r="F210" t="s">
        <v>1172</v>
      </c>
      <c r="G210" t="s">
        <v>1172</v>
      </c>
      <c r="H210" t="s">
        <v>1172</v>
      </c>
    </row>
    <row r="211" spans="1:8">
      <c r="A211">
        <v>48</v>
      </c>
      <c r="B211" t="s">
        <v>1374</v>
      </c>
      <c r="C211" s="446">
        <v>0</v>
      </c>
      <c r="E211" t="s">
        <v>1172</v>
      </c>
      <c r="F211" t="s">
        <v>1172</v>
      </c>
      <c r="G211" t="s">
        <v>1172</v>
      </c>
      <c r="H211" t="s">
        <v>1172</v>
      </c>
    </row>
    <row r="212" spans="1:8">
      <c r="A212">
        <v>48</v>
      </c>
      <c r="B212" t="s">
        <v>1375</v>
      </c>
      <c r="C212" s="446">
        <v>0</v>
      </c>
      <c r="E212" t="s">
        <v>1172</v>
      </c>
      <c r="F212" t="s">
        <v>1172</v>
      </c>
      <c r="G212" t="s">
        <v>1172</v>
      </c>
      <c r="H212" t="s">
        <v>1172</v>
      </c>
    </row>
    <row r="213" spans="1:8">
      <c r="A213">
        <v>48</v>
      </c>
      <c r="B213" t="s">
        <v>1376</v>
      </c>
      <c r="C213" s="446">
        <v>0</v>
      </c>
      <c r="E213" t="s">
        <v>1172</v>
      </c>
      <c r="F213" t="s">
        <v>1172</v>
      </c>
      <c r="G213" t="s">
        <v>1172</v>
      </c>
      <c r="H213" t="s">
        <v>1172</v>
      </c>
    </row>
    <row r="214" spans="1:8">
      <c r="A214">
        <v>48</v>
      </c>
      <c r="B214" t="s">
        <v>1377</v>
      </c>
      <c r="C214" s="446">
        <v>0</v>
      </c>
      <c r="E214" t="s">
        <v>1172</v>
      </c>
      <c r="F214" t="s">
        <v>1172</v>
      </c>
      <c r="G214" t="s">
        <v>1172</v>
      </c>
      <c r="H214" t="s">
        <v>1172</v>
      </c>
    </row>
    <row r="215" spans="1:8">
      <c r="A215">
        <v>48</v>
      </c>
      <c r="B215" t="s">
        <v>1378</v>
      </c>
      <c r="C215" s="446">
        <v>0</v>
      </c>
      <c r="E215" t="s">
        <v>1172</v>
      </c>
      <c r="F215" t="s">
        <v>1172</v>
      </c>
      <c r="G215" t="s">
        <v>1172</v>
      </c>
      <c r="H215" t="s">
        <v>1172</v>
      </c>
    </row>
    <row r="216" spans="1:8">
      <c r="A216">
        <v>48</v>
      </c>
      <c r="B216" t="s">
        <v>1379</v>
      </c>
      <c r="C216" s="446">
        <v>0</v>
      </c>
      <c r="E216" t="s">
        <v>1172</v>
      </c>
      <c r="F216" t="s">
        <v>1172</v>
      </c>
      <c r="G216" t="s">
        <v>1172</v>
      </c>
      <c r="H216" t="s">
        <v>1172</v>
      </c>
    </row>
    <row r="217" spans="1:8">
      <c r="A217">
        <v>48</v>
      </c>
      <c r="B217" t="s">
        <v>1380</v>
      </c>
      <c r="C217" s="446">
        <v>0</v>
      </c>
      <c r="E217" t="s">
        <v>1172</v>
      </c>
      <c r="F217" t="s">
        <v>1172</v>
      </c>
      <c r="G217" t="s">
        <v>1172</v>
      </c>
      <c r="H217" t="s">
        <v>1172</v>
      </c>
    </row>
    <row r="218" spans="1:8">
      <c r="A218">
        <v>48</v>
      </c>
      <c r="B218" t="s">
        <v>1381</v>
      </c>
      <c r="C218" s="446">
        <v>0</v>
      </c>
      <c r="E218" t="s">
        <v>1172</v>
      </c>
      <c r="F218" t="s">
        <v>1172</v>
      </c>
      <c r="G218" t="s">
        <v>1172</v>
      </c>
      <c r="H218" t="s">
        <v>1172</v>
      </c>
    </row>
    <row r="219" spans="1:8">
      <c r="A219">
        <v>48</v>
      </c>
      <c r="B219" t="s">
        <v>1382</v>
      </c>
      <c r="C219" s="446">
        <v>0</v>
      </c>
      <c r="E219" t="s">
        <v>1172</v>
      </c>
      <c r="F219" t="s">
        <v>1172</v>
      </c>
      <c r="G219" t="s">
        <v>1172</v>
      </c>
      <c r="H219" t="s">
        <v>1172</v>
      </c>
    </row>
    <row r="220" spans="1:8">
      <c r="A220">
        <v>48</v>
      </c>
      <c r="B220" t="s">
        <v>1383</v>
      </c>
      <c r="C220" s="446">
        <v>0</v>
      </c>
      <c r="E220" t="s">
        <v>1172</v>
      </c>
      <c r="F220" t="s">
        <v>1172</v>
      </c>
      <c r="G220" t="s">
        <v>1172</v>
      </c>
      <c r="H220" t="s">
        <v>1172</v>
      </c>
    </row>
    <row r="221" spans="1:8">
      <c r="A221">
        <v>48</v>
      </c>
      <c r="B221" t="s">
        <v>1384</v>
      </c>
      <c r="C221" s="446">
        <v>0</v>
      </c>
      <c r="E221" t="s">
        <v>1172</v>
      </c>
      <c r="F221" t="s">
        <v>1172</v>
      </c>
      <c r="G221" t="s">
        <v>1172</v>
      </c>
      <c r="H221" t="s">
        <v>1172</v>
      </c>
    </row>
    <row r="222" spans="1:8">
      <c r="A222">
        <v>48</v>
      </c>
      <c r="B222" t="s">
        <v>1385</v>
      </c>
      <c r="C222" s="446">
        <v>0</v>
      </c>
      <c r="E222" t="s">
        <v>1172</v>
      </c>
      <c r="F222" t="s">
        <v>1172</v>
      </c>
      <c r="G222" t="s">
        <v>1172</v>
      </c>
      <c r="H222" t="s">
        <v>1172</v>
      </c>
    </row>
    <row r="223" spans="1:8">
      <c r="A223">
        <v>48</v>
      </c>
      <c r="B223" t="s">
        <v>1386</v>
      </c>
      <c r="C223" s="446">
        <v>14529113.869999999</v>
      </c>
      <c r="E223" t="s">
        <v>1172</v>
      </c>
      <c r="F223" t="s">
        <v>1172</v>
      </c>
      <c r="G223" t="s">
        <v>1172</v>
      </c>
      <c r="H223" t="s">
        <v>1172</v>
      </c>
    </row>
    <row r="224" spans="1:8">
      <c r="A224">
        <v>48</v>
      </c>
      <c r="B224" t="s">
        <v>1387</v>
      </c>
      <c r="C224" s="446">
        <v>968607591.58329999</v>
      </c>
      <c r="E224" t="s">
        <v>1172</v>
      </c>
      <c r="F224" t="s">
        <v>1172</v>
      </c>
      <c r="G224" t="s">
        <v>1172</v>
      </c>
      <c r="H224" t="s">
        <v>1172</v>
      </c>
    </row>
    <row r="225" spans="1:8">
      <c r="A225">
        <v>48</v>
      </c>
      <c r="B225" t="s">
        <v>1388</v>
      </c>
      <c r="C225" s="446">
        <v>2.1617000000000001E-2</v>
      </c>
      <c r="E225" t="s">
        <v>1172</v>
      </c>
      <c r="F225" t="s">
        <v>1172</v>
      </c>
      <c r="G225" t="s">
        <v>1172</v>
      </c>
      <c r="H225" t="s">
        <v>1172</v>
      </c>
    </row>
    <row r="226" spans="1:8">
      <c r="A226">
        <v>48</v>
      </c>
      <c r="B226" t="s">
        <v>1389</v>
      </c>
      <c r="C226" s="875">
        <v>1.8919999999999999E-2</v>
      </c>
      <c r="E226" t="s">
        <v>1172</v>
      </c>
      <c r="F226" t="s">
        <v>1172</v>
      </c>
      <c r="G226" t="s">
        <v>1172</v>
      </c>
      <c r="H226" t="s">
        <v>1172</v>
      </c>
    </row>
    <row r="227" spans="1:8">
      <c r="A227">
        <v>48</v>
      </c>
      <c r="B227" t="s">
        <v>1390</v>
      </c>
      <c r="C227" s="446">
        <v>203181.59</v>
      </c>
      <c r="E227" t="s">
        <v>1172</v>
      </c>
      <c r="F227" t="s">
        <v>1172</v>
      </c>
      <c r="G227" t="s">
        <v>1172</v>
      </c>
      <c r="H227" t="s">
        <v>1172</v>
      </c>
    </row>
    <row r="228" spans="1:8">
      <c r="A228">
        <v>48</v>
      </c>
      <c r="B228" t="s">
        <v>1391</v>
      </c>
      <c r="C228" s="446">
        <v>940772941.91670001</v>
      </c>
      <c r="E228" t="s">
        <v>1172</v>
      </c>
      <c r="F228" t="s">
        <v>1172</v>
      </c>
      <c r="G228" t="s">
        <v>1172</v>
      </c>
      <c r="H228" t="s">
        <v>1172</v>
      </c>
    </row>
    <row r="229" spans="1:8">
      <c r="B229" t="s">
        <v>1172</v>
      </c>
      <c r="E229" t="s">
        <v>1172</v>
      </c>
      <c r="F229" t="s">
        <v>1172</v>
      </c>
      <c r="G229" t="s">
        <v>1172</v>
      </c>
      <c r="H229" t="s">
        <v>1172</v>
      </c>
    </row>
    <row r="230" spans="1:8">
      <c r="B230" t="s">
        <v>1172</v>
      </c>
      <c r="E230" t="s">
        <v>1172</v>
      </c>
      <c r="F230" t="s">
        <v>1172</v>
      </c>
      <c r="G230" t="s">
        <v>1172</v>
      </c>
      <c r="H230" t="s">
        <v>1172</v>
      </c>
    </row>
    <row r="231" spans="1:8">
      <c r="B231" t="s">
        <v>1172</v>
      </c>
      <c r="E231" t="s">
        <v>1172</v>
      </c>
      <c r="F231" t="s">
        <v>1172</v>
      </c>
      <c r="G231" t="s">
        <v>1172</v>
      </c>
      <c r="H231" t="s">
        <v>1172</v>
      </c>
    </row>
    <row r="232" spans="1:8">
      <c r="B232" t="s">
        <v>1172</v>
      </c>
      <c r="E232" t="s">
        <v>1172</v>
      </c>
      <c r="F232" t="s">
        <v>1172</v>
      </c>
      <c r="G232" t="s">
        <v>1172</v>
      </c>
      <c r="H232" t="s">
        <v>1172</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1163</v>
      </c>
      <c r="B1" t="s">
        <v>815</v>
      </c>
      <c r="C1" t="s">
        <v>1392</v>
      </c>
      <c r="D1" t="s">
        <v>375</v>
      </c>
      <c r="E1" t="s">
        <v>1393</v>
      </c>
      <c r="F1" t="s">
        <v>1394</v>
      </c>
      <c r="G1" t="s">
        <v>1168</v>
      </c>
      <c r="H1" t="s">
        <v>1169</v>
      </c>
      <c r="I1" t="s">
        <v>1170</v>
      </c>
      <c r="J1" t="s">
        <v>1395</v>
      </c>
      <c r="K1" t="s">
        <v>1396</v>
      </c>
    </row>
    <row r="2" spans="1:11">
      <c r="A2">
        <v>48</v>
      </c>
      <c r="B2" t="s">
        <v>1397</v>
      </c>
      <c r="C2" s="446">
        <v>999999989.32000005</v>
      </c>
      <c r="D2" s="446">
        <v>0</v>
      </c>
      <c r="E2" s="446">
        <v>0</v>
      </c>
      <c r="F2" s="446">
        <v>0</v>
      </c>
      <c r="G2" s="446">
        <v>0</v>
      </c>
      <c r="H2" s="446">
        <v>0</v>
      </c>
      <c r="I2" s="446">
        <v>0</v>
      </c>
      <c r="J2" s="446">
        <v>0</v>
      </c>
      <c r="K2" s="446">
        <v>0</v>
      </c>
    </row>
    <row r="3" spans="1:11">
      <c r="A3">
        <v>48</v>
      </c>
      <c r="B3" t="s">
        <v>1398</v>
      </c>
      <c r="C3" s="446">
        <v>999999873.58000004</v>
      </c>
      <c r="D3" s="446">
        <v>2602877.79</v>
      </c>
      <c r="E3" s="446">
        <v>1981111.32</v>
      </c>
      <c r="F3" s="446">
        <v>69680.710000000006</v>
      </c>
      <c r="G3" s="446">
        <v>0</v>
      </c>
      <c r="H3" s="446">
        <v>42888.01</v>
      </c>
      <c r="I3" s="446">
        <v>46771.8</v>
      </c>
      <c r="J3" s="446">
        <v>1572.73</v>
      </c>
      <c r="K3" s="446">
        <v>0</v>
      </c>
    </row>
    <row r="4" spans="1:11">
      <c r="A4">
        <v>48</v>
      </c>
      <c r="B4" t="s">
        <v>1399</v>
      </c>
      <c r="C4" s="446">
        <v>999999923.61000001</v>
      </c>
      <c r="D4" s="446">
        <v>1860702.91</v>
      </c>
      <c r="E4" s="446">
        <v>3729556.59</v>
      </c>
      <c r="F4" s="446">
        <v>560672.38</v>
      </c>
      <c r="G4" s="446">
        <v>1150868.78</v>
      </c>
      <c r="H4" s="446">
        <v>35422.400000000001</v>
      </c>
      <c r="I4" s="446">
        <v>87625</v>
      </c>
      <c r="J4" s="446">
        <v>17438.509999999998</v>
      </c>
      <c r="K4" s="446">
        <v>41244</v>
      </c>
    </row>
    <row r="5" spans="1:11">
      <c r="A5">
        <v>48</v>
      </c>
      <c r="B5" t="s">
        <v>1400</v>
      </c>
      <c r="C5" s="446">
        <v>999999964.76999998</v>
      </c>
      <c r="D5" s="446">
        <v>600601.19999999995</v>
      </c>
      <c r="E5" s="446">
        <v>3071631.46</v>
      </c>
      <c r="F5" s="446">
        <v>2792725.54</v>
      </c>
      <c r="G5" s="446">
        <v>4052103</v>
      </c>
      <c r="H5" s="446">
        <v>11930.43</v>
      </c>
      <c r="I5" s="446">
        <v>59619.63</v>
      </c>
      <c r="J5" s="446">
        <v>78600.639999999999</v>
      </c>
      <c r="K5" s="446">
        <v>169483.68</v>
      </c>
    </row>
    <row r="6" spans="1:11">
      <c r="A6">
        <v>48</v>
      </c>
      <c r="B6" t="s">
        <v>1401</v>
      </c>
      <c r="C6" s="446">
        <v>999999957.50999999</v>
      </c>
      <c r="D6" s="446">
        <v>3709843.78</v>
      </c>
      <c r="E6" s="446">
        <v>4283469.93</v>
      </c>
      <c r="F6" s="446">
        <v>2694285.01</v>
      </c>
      <c r="G6" s="446">
        <v>3380768.06</v>
      </c>
      <c r="H6" s="446">
        <v>66357.52</v>
      </c>
      <c r="I6" s="446">
        <v>104146.31</v>
      </c>
      <c r="J6" s="446">
        <v>108373.08</v>
      </c>
      <c r="K6" s="446">
        <v>190745.14</v>
      </c>
    </row>
    <row r="7" spans="1:11">
      <c r="A7">
        <v>48</v>
      </c>
      <c r="B7" t="s">
        <v>1402</v>
      </c>
      <c r="C7" s="446">
        <v>999999996.48000002</v>
      </c>
      <c r="D7" s="446">
        <v>905794.68</v>
      </c>
      <c r="E7" s="446">
        <v>5476192.3899999997</v>
      </c>
      <c r="F7" s="446">
        <v>3261458.58</v>
      </c>
      <c r="G7" s="446">
        <v>3767479.25</v>
      </c>
      <c r="H7" s="446">
        <v>15042.54</v>
      </c>
      <c r="I7" s="446">
        <v>130430.39999999999</v>
      </c>
      <c r="J7" s="446">
        <v>131352.26999999999</v>
      </c>
      <c r="K7" s="446">
        <v>228915.72</v>
      </c>
    </row>
    <row r="8" spans="1:11">
      <c r="A8">
        <v>48</v>
      </c>
      <c r="B8" t="s">
        <v>1403</v>
      </c>
      <c r="C8" s="446">
        <v>999999978.38</v>
      </c>
      <c r="D8" s="446">
        <v>3893409.95</v>
      </c>
      <c r="E8" s="446">
        <v>1173069.83</v>
      </c>
      <c r="F8" s="446">
        <v>5723072.1699999999</v>
      </c>
      <c r="G8" s="446">
        <v>3991953.71</v>
      </c>
      <c r="H8" s="446">
        <v>72035.289999999994</v>
      </c>
      <c r="I8" s="446">
        <v>26108.52</v>
      </c>
      <c r="J8" s="446">
        <v>194859.08</v>
      </c>
      <c r="K8" s="446">
        <v>236250.66</v>
      </c>
    </row>
    <row r="9" spans="1:11">
      <c r="A9">
        <v>48</v>
      </c>
      <c r="B9" t="s">
        <v>1404</v>
      </c>
      <c r="C9" s="446">
        <v>971524220.40999997</v>
      </c>
      <c r="D9" s="446">
        <v>3465637.65</v>
      </c>
      <c r="E9" s="446">
        <v>4138208.3</v>
      </c>
      <c r="F9" s="446">
        <v>820884.07</v>
      </c>
      <c r="G9" s="446">
        <v>6190801.5899999999</v>
      </c>
      <c r="H9" s="446">
        <v>62549.85</v>
      </c>
      <c r="I9" s="446">
        <v>114244.49</v>
      </c>
      <c r="J9" s="446">
        <v>30325.9</v>
      </c>
      <c r="K9" s="446">
        <v>317406.33</v>
      </c>
    </row>
    <row r="10" spans="1:11">
      <c r="A10">
        <v>48</v>
      </c>
      <c r="B10" t="s">
        <v>1405</v>
      </c>
    </row>
    <row r="11" spans="1:11">
      <c r="A11">
        <v>48</v>
      </c>
      <c r="B11" t="s">
        <v>1406</v>
      </c>
    </row>
    <row r="12" spans="1:11">
      <c r="A12">
        <v>48</v>
      </c>
      <c r="B12" t="s">
        <v>1407</v>
      </c>
    </row>
    <row r="13" spans="1:11">
      <c r="A13">
        <v>48</v>
      </c>
      <c r="B13" t="s">
        <v>1408</v>
      </c>
    </row>
    <row r="14" spans="1:11">
      <c r="A14">
        <v>48</v>
      </c>
      <c r="B14" t="s">
        <v>1409</v>
      </c>
    </row>
    <row r="15" spans="1:11">
      <c r="A15">
        <v>48</v>
      </c>
      <c r="B15" t="s">
        <v>1410</v>
      </c>
    </row>
    <row r="16" spans="1:11">
      <c r="A16">
        <v>48</v>
      </c>
      <c r="B16" t="s">
        <v>1411</v>
      </c>
    </row>
    <row r="17" spans="1:2">
      <c r="A17">
        <v>48</v>
      </c>
      <c r="B17" t="s">
        <v>1412</v>
      </c>
    </row>
    <row r="18" spans="1:2">
      <c r="A18">
        <v>48</v>
      </c>
      <c r="B18" t="s">
        <v>1413</v>
      </c>
    </row>
    <row r="19" spans="1:2">
      <c r="A19">
        <v>48</v>
      </c>
      <c r="B19" t="s">
        <v>1414</v>
      </c>
    </row>
    <row r="20" spans="1:2">
      <c r="A20">
        <v>48</v>
      </c>
      <c r="B20" t="s">
        <v>1415</v>
      </c>
    </row>
    <row r="21" spans="1:2">
      <c r="A21">
        <v>48</v>
      </c>
      <c r="B21" t="s">
        <v>1416</v>
      </c>
    </row>
    <row r="22" spans="1:2">
      <c r="A22">
        <v>48</v>
      </c>
      <c r="B22" t="s">
        <v>1417</v>
      </c>
    </row>
    <row r="23" spans="1:2">
      <c r="A23">
        <v>48</v>
      </c>
      <c r="B23" t="s">
        <v>1418</v>
      </c>
    </row>
    <row r="24" spans="1:2">
      <c r="A24">
        <v>48</v>
      </c>
      <c r="B24" t="s">
        <v>1419</v>
      </c>
    </row>
    <row r="25" spans="1:2">
      <c r="A25">
        <v>48</v>
      </c>
      <c r="B25" t="s">
        <v>1420</v>
      </c>
    </row>
    <row r="26" spans="1:2">
      <c r="A26">
        <v>48</v>
      </c>
      <c r="B26" t="s">
        <v>1421</v>
      </c>
    </row>
    <row r="27" spans="1:2">
      <c r="A27">
        <v>48</v>
      </c>
      <c r="B27" t="s">
        <v>1422</v>
      </c>
    </row>
    <row r="28" spans="1:2">
      <c r="A28">
        <v>48</v>
      </c>
      <c r="B28" t="s">
        <v>1423</v>
      </c>
    </row>
    <row r="29" spans="1:2">
      <c r="A29">
        <v>48</v>
      </c>
      <c r="B29" t="s">
        <v>1424</v>
      </c>
    </row>
    <row r="30" spans="1:2">
      <c r="A30">
        <v>48</v>
      </c>
      <c r="B30" t="s">
        <v>1425</v>
      </c>
    </row>
    <row r="31" spans="1:2">
      <c r="A31">
        <v>48</v>
      </c>
      <c r="B31" t="s">
        <v>1426</v>
      </c>
    </row>
    <row r="32" spans="1:2">
      <c r="A32">
        <v>48</v>
      </c>
      <c r="B32" t="s">
        <v>1427</v>
      </c>
    </row>
    <row r="33" spans="1:2">
      <c r="A33">
        <v>48</v>
      </c>
      <c r="B33" t="s">
        <v>1428</v>
      </c>
    </row>
    <row r="34" spans="1:2">
      <c r="A34">
        <v>48</v>
      </c>
      <c r="B34" t="s">
        <v>1429</v>
      </c>
    </row>
    <row r="35" spans="1:2">
      <c r="A35">
        <v>48</v>
      </c>
      <c r="B35" t="s">
        <v>1430</v>
      </c>
    </row>
    <row r="36" spans="1:2">
      <c r="A36">
        <v>48</v>
      </c>
      <c r="B36" t="s">
        <v>1431</v>
      </c>
    </row>
    <row r="37" spans="1:2">
      <c r="A37">
        <v>48</v>
      </c>
      <c r="B37" t="s">
        <v>1432</v>
      </c>
    </row>
    <row r="38" spans="1:2">
      <c r="A38">
        <v>48</v>
      </c>
      <c r="B38" t="s">
        <v>1433</v>
      </c>
    </row>
    <row r="39" spans="1:2">
      <c r="A39">
        <v>48</v>
      </c>
      <c r="B39" t="s">
        <v>1434</v>
      </c>
    </row>
    <row r="40" spans="1:2">
      <c r="A40">
        <v>48</v>
      </c>
      <c r="B40" t="s">
        <v>1435</v>
      </c>
    </row>
    <row r="41" spans="1:2">
      <c r="A41">
        <v>48</v>
      </c>
      <c r="B41" t="s">
        <v>1436</v>
      </c>
    </row>
    <row r="42" spans="1:2">
      <c r="A42">
        <v>48</v>
      </c>
      <c r="B42" t="s">
        <v>1437</v>
      </c>
    </row>
    <row r="43" spans="1:2">
      <c r="A43">
        <v>48</v>
      </c>
      <c r="B43" t="s">
        <v>1438</v>
      </c>
    </row>
    <row r="44" spans="1:2">
      <c r="A44">
        <v>48</v>
      </c>
      <c r="B44" t="s">
        <v>1439</v>
      </c>
    </row>
    <row r="45" spans="1:2">
      <c r="A45">
        <v>48</v>
      </c>
      <c r="B45" t="s">
        <v>1440</v>
      </c>
    </row>
    <row r="46" spans="1:2">
      <c r="A46">
        <v>48</v>
      </c>
      <c r="B46" t="s">
        <v>1441</v>
      </c>
    </row>
    <row r="47" spans="1:2">
      <c r="A47">
        <v>48</v>
      </c>
      <c r="B47" t="s">
        <v>1442</v>
      </c>
    </row>
    <row r="48" spans="1:2">
      <c r="A48">
        <v>48</v>
      </c>
      <c r="B48" t="s">
        <v>1443</v>
      </c>
    </row>
    <row r="49" spans="1:2">
      <c r="A49">
        <v>48</v>
      </c>
      <c r="B49" t="s">
        <v>1444</v>
      </c>
    </row>
    <row r="50" spans="1:2">
      <c r="A50">
        <v>48</v>
      </c>
      <c r="B50" t="s">
        <v>1445</v>
      </c>
    </row>
    <row r="51" spans="1:2">
      <c r="A51">
        <v>48</v>
      </c>
      <c r="B51" t="s">
        <v>1446</v>
      </c>
    </row>
    <row r="52" spans="1:2">
      <c r="A52">
        <v>48</v>
      </c>
      <c r="B52" t="s">
        <v>1447</v>
      </c>
    </row>
    <row r="53" spans="1:2">
      <c r="A53">
        <v>48</v>
      </c>
      <c r="B53" t="s">
        <v>1448</v>
      </c>
    </row>
    <row r="54" spans="1:2">
      <c r="A54">
        <v>48</v>
      </c>
      <c r="B54" t="s">
        <v>1449</v>
      </c>
    </row>
    <row r="55" spans="1:2">
      <c r="A55">
        <v>48</v>
      </c>
      <c r="B55" t="s">
        <v>1450</v>
      </c>
    </row>
    <row r="56" spans="1:2">
      <c r="A56">
        <v>48</v>
      </c>
      <c r="B56" t="s">
        <v>1451</v>
      </c>
    </row>
    <row r="57" spans="1:2">
      <c r="A57">
        <v>48</v>
      </c>
      <c r="B57" t="s">
        <v>1452</v>
      </c>
    </row>
    <row r="58" spans="1:2">
      <c r="A58">
        <v>48</v>
      </c>
      <c r="B58" t="s">
        <v>1453</v>
      </c>
    </row>
    <row r="59" spans="1:2">
      <c r="A59">
        <v>48</v>
      </c>
      <c r="B59" t="s">
        <v>1454</v>
      </c>
    </row>
    <row r="60" spans="1:2">
      <c r="A60">
        <v>48</v>
      </c>
      <c r="B60" t="s">
        <v>1455</v>
      </c>
    </row>
    <row r="61" spans="1:2">
      <c r="A61">
        <v>48</v>
      </c>
      <c r="B61" t="s">
        <v>1456</v>
      </c>
    </row>
    <row r="62" spans="1:2">
      <c r="A62">
        <v>48</v>
      </c>
      <c r="B62" t="s">
        <v>1457</v>
      </c>
    </row>
    <row r="63" spans="1:2">
      <c r="A63">
        <v>48</v>
      </c>
      <c r="B63" t="s">
        <v>1458</v>
      </c>
    </row>
    <row r="64" spans="1:2">
      <c r="A64">
        <v>48</v>
      </c>
      <c r="B64" t="s">
        <v>1459</v>
      </c>
    </row>
    <row r="65" spans="1:2">
      <c r="A65">
        <v>48</v>
      </c>
      <c r="B65" t="s">
        <v>1460</v>
      </c>
    </row>
    <row r="66" spans="1:2">
      <c r="A66">
        <v>48</v>
      </c>
      <c r="B66" t="s">
        <v>1461</v>
      </c>
    </row>
    <row r="67" spans="1:2">
      <c r="A67">
        <v>48</v>
      </c>
      <c r="B67" t="s">
        <v>1462</v>
      </c>
    </row>
    <row r="68" spans="1:2">
      <c r="A68">
        <v>48</v>
      </c>
      <c r="B68" t="s">
        <v>1463</v>
      </c>
    </row>
    <row r="69" spans="1:2">
      <c r="A69">
        <v>48</v>
      </c>
      <c r="B69" t="s">
        <v>1464</v>
      </c>
    </row>
    <row r="70" spans="1:2">
      <c r="A70">
        <v>48</v>
      </c>
      <c r="B70" t="s">
        <v>1465</v>
      </c>
    </row>
    <row r="71" spans="1:2">
      <c r="A71">
        <v>48</v>
      </c>
      <c r="B71" t="s">
        <v>1466</v>
      </c>
    </row>
    <row r="72" spans="1:2">
      <c r="A72">
        <v>48</v>
      </c>
      <c r="B72" t="s">
        <v>1467</v>
      </c>
    </row>
    <row r="73" spans="1:2">
      <c r="A73">
        <v>48</v>
      </c>
      <c r="B73" t="s">
        <v>1468</v>
      </c>
    </row>
    <row r="74" spans="1:2">
      <c r="A74">
        <v>48</v>
      </c>
      <c r="B74" t="s">
        <v>1469</v>
      </c>
    </row>
    <row r="75" spans="1:2">
      <c r="A75">
        <v>48</v>
      </c>
      <c r="B75" t="s">
        <v>1470</v>
      </c>
    </row>
    <row r="76" spans="1:2">
      <c r="A76">
        <v>48</v>
      </c>
      <c r="B76" t="s">
        <v>1471</v>
      </c>
    </row>
    <row r="77" spans="1:2">
      <c r="A77">
        <v>48</v>
      </c>
      <c r="B77" t="s">
        <v>1472</v>
      </c>
    </row>
    <row r="78" spans="1:2">
      <c r="A78">
        <v>48</v>
      </c>
      <c r="B78" t="s">
        <v>1473</v>
      </c>
    </row>
    <row r="79" spans="1:2">
      <c r="A79">
        <v>48</v>
      </c>
      <c r="B79" t="s">
        <v>1474</v>
      </c>
    </row>
    <row r="80" spans="1:2">
      <c r="A80">
        <v>48</v>
      </c>
      <c r="B80" t="s">
        <v>1475</v>
      </c>
    </row>
    <row r="81" spans="1:2">
      <c r="A81">
        <v>48</v>
      </c>
      <c r="B81" t="s">
        <v>1476</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9"/>
    </sheetView>
  </sheetViews>
  <sheetFormatPr baseColWidth="10" defaultColWidth="8.7265625" defaultRowHeight="12.5"/>
  <cols>
    <col min="1" max="1" width="13" customWidth="1"/>
    <col min="2" max="2" width="41" customWidth="1"/>
    <col min="3" max="11" width="13" customWidth="1"/>
  </cols>
  <sheetData>
    <row r="1" spans="1:11">
      <c r="A1" t="s">
        <v>1163</v>
      </c>
      <c r="B1" t="s">
        <v>815</v>
      </c>
      <c r="C1" t="s">
        <v>1392</v>
      </c>
      <c r="D1" t="s">
        <v>375</v>
      </c>
      <c r="E1" t="s">
        <v>1393</v>
      </c>
      <c r="F1" t="s">
        <v>1394</v>
      </c>
      <c r="G1" t="s">
        <v>1168</v>
      </c>
      <c r="H1" t="s">
        <v>1169</v>
      </c>
      <c r="I1" t="s">
        <v>1170</v>
      </c>
      <c r="J1" t="s">
        <v>1395</v>
      </c>
      <c r="K1" t="s">
        <v>1396</v>
      </c>
    </row>
    <row r="2" spans="1:11">
      <c r="A2">
        <v>48</v>
      </c>
      <c r="B2" t="s">
        <v>1477</v>
      </c>
      <c r="C2">
        <v>0</v>
      </c>
      <c r="D2" s="446">
        <v>0</v>
      </c>
      <c r="E2" s="446">
        <v>0</v>
      </c>
      <c r="F2" s="446">
        <v>1026954012.04</v>
      </c>
      <c r="G2">
        <v>0</v>
      </c>
      <c r="H2" s="446">
        <v>0</v>
      </c>
      <c r="I2" s="446">
        <v>0</v>
      </c>
      <c r="J2" s="446">
        <v>0</v>
      </c>
      <c r="K2">
        <v>0</v>
      </c>
    </row>
    <row r="3" spans="1:11">
      <c r="A3">
        <v>48</v>
      </c>
      <c r="B3" t="s">
        <v>1478</v>
      </c>
      <c r="C3">
        <v>1</v>
      </c>
      <c r="D3" s="446">
        <v>41562.89</v>
      </c>
      <c r="E3" s="446">
        <v>41562.89</v>
      </c>
      <c r="F3" s="446">
        <v>1046060613.35</v>
      </c>
      <c r="G3">
        <v>3.9732774056844763E-5</v>
      </c>
      <c r="H3" s="446">
        <v>0</v>
      </c>
      <c r="I3" s="446">
        <v>0</v>
      </c>
      <c r="J3" s="446">
        <v>41562.89</v>
      </c>
      <c r="K3">
        <v>3.9732774056844763E-5</v>
      </c>
    </row>
    <row r="4" spans="1:11">
      <c r="A4">
        <v>48</v>
      </c>
      <c r="B4" t="s">
        <v>1479</v>
      </c>
      <c r="C4">
        <v>5</v>
      </c>
      <c r="D4" s="446">
        <v>123733.5</v>
      </c>
      <c r="E4" s="446">
        <v>165296.39000000001</v>
      </c>
      <c r="F4" s="446">
        <v>1074007563.9400001</v>
      </c>
      <c r="G4">
        <v>1.5390616933237387E-4</v>
      </c>
      <c r="H4" s="446">
        <v>-693.79</v>
      </c>
      <c r="I4" s="446">
        <v>-693.79</v>
      </c>
      <c r="J4" s="446">
        <v>165990.18</v>
      </c>
      <c r="K4">
        <v>1.5455215174748355E-4</v>
      </c>
    </row>
    <row r="5" spans="1:11">
      <c r="A5">
        <v>48</v>
      </c>
      <c r="B5" t="s">
        <v>1480</v>
      </c>
      <c r="C5">
        <v>31</v>
      </c>
      <c r="D5" s="446">
        <v>962042.8</v>
      </c>
      <c r="E5" s="446">
        <v>1127339.19</v>
      </c>
      <c r="F5" s="446">
        <v>1097980488.6400001</v>
      </c>
      <c r="G5">
        <v>1.0267388188257922E-3</v>
      </c>
      <c r="H5" s="446">
        <v>-4650.4399999999996</v>
      </c>
      <c r="I5" s="446">
        <v>-5344.23</v>
      </c>
      <c r="J5" s="446">
        <v>1132683.42</v>
      </c>
      <c r="K5">
        <v>1.0316061457549071E-3</v>
      </c>
    </row>
    <row r="6" spans="1:11">
      <c r="A6">
        <v>48</v>
      </c>
      <c r="B6" t="s">
        <v>1481</v>
      </c>
      <c r="C6">
        <v>92</v>
      </c>
      <c r="D6" s="446">
        <v>1728516.32</v>
      </c>
      <c r="E6" s="446">
        <v>2855855.51</v>
      </c>
      <c r="F6" s="446">
        <v>1124156931.72</v>
      </c>
      <c r="G6">
        <v>2.5404420231883813E-3</v>
      </c>
      <c r="H6" s="446">
        <v>-4342.7299999999996</v>
      </c>
      <c r="I6" s="446">
        <v>-9686.9599999999991</v>
      </c>
      <c r="J6" s="446">
        <v>2865542.47</v>
      </c>
      <c r="K6">
        <v>2.5490591118942957E-3</v>
      </c>
    </row>
    <row r="7" spans="1:11">
      <c r="A7">
        <v>48</v>
      </c>
      <c r="B7" t="s">
        <v>1482</v>
      </c>
      <c r="C7">
        <v>152</v>
      </c>
      <c r="D7" s="446">
        <v>1771348.09</v>
      </c>
      <c r="E7" s="446">
        <v>4627203.5999999996</v>
      </c>
      <c r="F7" s="446">
        <v>1152918303.0599999</v>
      </c>
      <c r="G7">
        <v>4.0134705015253723E-3</v>
      </c>
      <c r="H7" s="446">
        <v>-7343.86</v>
      </c>
      <c r="I7" s="446">
        <v>-17030.82</v>
      </c>
      <c r="J7" s="446">
        <v>4644234.42</v>
      </c>
      <c r="K7">
        <v>4.0282424241800813E-3</v>
      </c>
    </row>
    <row r="8" spans="1:11">
      <c r="A8">
        <v>48</v>
      </c>
      <c r="B8" t="s">
        <v>1483</v>
      </c>
      <c r="C8">
        <v>262</v>
      </c>
      <c r="D8" s="446">
        <v>3170140.25</v>
      </c>
      <c r="E8" s="446">
        <v>7797343.8499999996</v>
      </c>
      <c r="F8" s="446">
        <v>1152918303.0599999</v>
      </c>
      <c r="G8">
        <v>6.7631364939777627E-3</v>
      </c>
      <c r="H8" s="446">
        <v>-12332.61</v>
      </c>
      <c r="I8" s="446">
        <v>-29363.43</v>
      </c>
      <c r="J8" s="446">
        <v>7826707.2800000003</v>
      </c>
      <c r="K8">
        <v>6.7886052803801163E-3</v>
      </c>
    </row>
    <row r="9" spans="1:11">
      <c r="A9">
        <v>48</v>
      </c>
      <c r="B9" t="s">
        <v>1484</v>
      </c>
      <c r="C9">
        <v>323</v>
      </c>
      <c r="D9" s="446">
        <v>1713133.53</v>
      </c>
      <c r="E9" s="446">
        <v>9510477.3800000008</v>
      </c>
      <c r="F9" s="446">
        <v>1152918303.0599999</v>
      </c>
      <c r="G9">
        <v>8.2490470961887885E-3</v>
      </c>
      <c r="H9" s="446">
        <v>2364.61</v>
      </c>
      <c r="I9" s="446">
        <v>-26998.82</v>
      </c>
      <c r="J9" s="446">
        <v>9537476.1999999993</v>
      </c>
      <c r="K9">
        <v>8.27246490465652E-3</v>
      </c>
    </row>
    <row r="10" spans="1:11">
      <c r="A10">
        <v>48</v>
      </c>
      <c r="B10" t="s">
        <v>1485</v>
      </c>
    </row>
    <row r="11" spans="1:11">
      <c r="A11">
        <v>48</v>
      </c>
      <c r="B11" t="s">
        <v>1486</v>
      </c>
    </row>
    <row r="12" spans="1:11">
      <c r="A12">
        <v>48</v>
      </c>
      <c r="B12" t="s">
        <v>1487</v>
      </c>
    </row>
    <row r="13" spans="1:11">
      <c r="A13">
        <v>48</v>
      </c>
      <c r="B13" t="s">
        <v>1488</v>
      </c>
    </row>
    <row r="14" spans="1:11">
      <c r="A14">
        <v>48</v>
      </c>
      <c r="B14" t="s">
        <v>1489</v>
      </c>
    </row>
    <row r="15" spans="1:11">
      <c r="A15">
        <v>48</v>
      </c>
      <c r="B15" t="s">
        <v>1490</v>
      </c>
    </row>
    <row r="16" spans="1:11">
      <c r="A16">
        <v>48</v>
      </c>
      <c r="B16" t="s">
        <v>1491</v>
      </c>
    </row>
    <row r="17" spans="1:2">
      <c r="A17">
        <v>48</v>
      </c>
      <c r="B17" t="s">
        <v>1492</v>
      </c>
    </row>
    <row r="18" spans="1:2">
      <c r="A18">
        <v>48</v>
      </c>
      <c r="B18" t="s">
        <v>1493</v>
      </c>
    </row>
    <row r="19" spans="1:2">
      <c r="A19">
        <v>48</v>
      </c>
      <c r="B19" t="s">
        <v>1494</v>
      </c>
    </row>
    <row r="20" spans="1:2">
      <c r="A20">
        <v>48</v>
      </c>
      <c r="B20" t="s">
        <v>1495</v>
      </c>
    </row>
    <row r="21" spans="1:2">
      <c r="A21">
        <v>48</v>
      </c>
      <c r="B21" t="s">
        <v>1496</v>
      </c>
    </row>
    <row r="22" spans="1:2">
      <c r="A22">
        <v>48</v>
      </c>
      <c r="B22" t="s">
        <v>1497</v>
      </c>
    </row>
    <row r="23" spans="1:2">
      <c r="A23">
        <v>48</v>
      </c>
      <c r="B23" t="s">
        <v>1498</v>
      </c>
    </row>
    <row r="24" spans="1:2">
      <c r="A24">
        <v>48</v>
      </c>
      <c r="B24" t="s">
        <v>1499</v>
      </c>
    </row>
    <row r="25" spans="1:2">
      <c r="A25">
        <v>48</v>
      </c>
      <c r="B25" t="s">
        <v>1500</v>
      </c>
    </row>
    <row r="26" spans="1:2">
      <c r="A26">
        <v>48</v>
      </c>
      <c r="B26" t="s">
        <v>1501</v>
      </c>
    </row>
    <row r="27" spans="1:2">
      <c r="A27">
        <v>48</v>
      </c>
      <c r="B27" t="s">
        <v>1502</v>
      </c>
    </row>
    <row r="28" spans="1:2">
      <c r="A28">
        <v>48</v>
      </c>
      <c r="B28" t="s">
        <v>1503</v>
      </c>
    </row>
    <row r="29" spans="1:2">
      <c r="A29">
        <v>48</v>
      </c>
      <c r="B29" t="s">
        <v>1504</v>
      </c>
    </row>
    <row r="30" spans="1:2">
      <c r="A30">
        <v>48</v>
      </c>
      <c r="B30" t="s">
        <v>1505</v>
      </c>
    </row>
    <row r="31" spans="1:2">
      <c r="A31">
        <v>48</v>
      </c>
      <c r="B31" t="s">
        <v>1506</v>
      </c>
    </row>
    <row r="32" spans="1:2">
      <c r="A32">
        <v>48</v>
      </c>
      <c r="B32" t="s">
        <v>1507</v>
      </c>
    </row>
    <row r="33" spans="1:2">
      <c r="A33">
        <v>48</v>
      </c>
      <c r="B33" t="s">
        <v>1508</v>
      </c>
    </row>
    <row r="34" spans="1:2">
      <c r="A34">
        <v>48</v>
      </c>
      <c r="B34" t="s">
        <v>1509</v>
      </c>
    </row>
    <row r="35" spans="1:2">
      <c r="A35">
        <v>48</v>
      </c>
      <c r="B35" t="s">
        <v>1510</v>
      </c>
    </row>
    <row r="36" spans="1:2">
      <c r="A36">
        <v>48</v>
      </c>
      <c r="B36" t="s">
        <v>1511</v>
      </c>
    </row>
    <row r="37" spans="1:2">
      <c r="A37">
        <v>48</v>
      </c>
      <c r="B37" t="s">
        <v>1512</v>
      </c>
    </row>
    <row r="38" spans="1:2">
      <c r="A38">
        <v>48</v>
      </c>
      <c r="B38" t="s">
        <v>1513</v>
      </c>
    </row>
    <row r="39" spans="1:2">
      <c r="A39">
        <v>48</v>
      </c>
      <c r="B39" t="s">
        <v>1514</v>
      </c>
    </row>
    <row r="40" spans="1:2">
      <c r="A40">
        <v>48</v>
      </c>
      <c r="B40" t="s">
        <v>1515</v>
      </c>
    </row>
    <row r="41" spans="1:2">
      <c r="A41">
        <v>48</v>
      </c>
      <c r="B41" t="s">
        <v>1516</v>
      </c>
    </row>
    <row r="42" spans="1:2">
      <c r="A42">
        <v>48</v>
      </c>
      <c r="B42" t="s">
        <v>1517</v>
      </c>
    </row>
    <row r="43" spans="1:2">
      <c r="A43">
        <v>48</v>
      </c>
      <c r="B43" t="s">
        <v>1518</v>
      </c>
    </row>
    <row r="44" spans="1:2">
      <c r="A44">
        <v>48</v>
      </c>
      <c r="B44" t="s">
        <v>1519</v>
      </c>
    </row>
    <row r="45" spans="1:2">
      <c r="A45">
        <v>48</v>
      </c>
      <c r="B45" t="s">
        <v>1520</v>
      </c>
    </row>
    <row r="46" spans="1:2">
      <c r="A46">
        <v>48</v>
      </c>
      <c r="B46" t="s">
        <v>1521</v>
      </c>
    </row>
    <row r="47" spans="1:2">
      <c r="A47">
        <v>48</v>
      </c>
      <c r="B47" t="s">
        <v>1522</v>
      </c>
    </row>
    <row r="48" spans="1:2">
      <c r="A48">
        <v>48</v>
      </c>
      <c r="B48" t="s">
        <v>1523</v>
      </c>
    </row>
    <row r="49" spans="1:2">
      <c r="A49">
        <v>48</v>
      </c>
      <c r="B49" t="s">
        <v>1524</v>
      </c>
    </row>
    <row r="50" spans="1:2">
      <c r="A50">
        <v>48</v>
      </c>
      <c r="B50" t="s">
        <v>1525</v>
      </c>
    </row>
    <row r="51" spans="1:2">
      <c r="A51">
        <v>48</v>
      </c>
      <c r="B51" t="s">
        <v>1526</v>
      </c>
    </row>
    <row r="52" spans="1:2">
      <c r="A52">
        <v>48</v>
      </c>
      <c r="B52" t="s">
        <v>1527</v>
      </c>
    </row>
    <row r="53" spans="1:2">
      <c r="A53">
        <v>48</v>
      </c>
      <c r="B53" t="s">
        <v>1528</v>
      </c>
    </row>
    <row r="54" spans="1:2">
      <c r="A54">
        <v>48</v>
      </c>
      <c r="B54" t="s">
        <v>1529</v>
      </c>
    </row>
    <row r="55" spans="1:2">
      <c r="A55">
        <v>48</v>
      </c>
      <c r="B55" t="s">
        <v>1530</v>
      </c>
    </row>
    <row r="56" spans="1:2">
      <c r="A56">
        <v>48</v>
      </c>
      <c r="B56" t="s">
        <v>1531</v>
      </c>
    </row>
    <row r="57" spans="1:2">
      <c r="A57">
        <v>48</v>
      </c>
      <c r="B57" t="s">
        <v>1532</v>
      </c>
    </row>
    <row r="58" spans="1:2">
      <c r="A58">
        <v>48</v>
      </c>
      <c r="B58" t="s">
        <v>1533</v>
      </c>
    </row>
    <row r="59" spans="1:2">
      <c r="A59">
        <v>48</v>
      </c>
      <c r="B59" t="s">
        <v>1534</v>
      </c>
    </row>
    <row r="60" spans="1:2">
      <c r="A60">
        <v>48</v>
      </c>
      <c r="B60" t="s">
        <v>1535</v>
      </c>
    </row>
    <row r="61" spans="1:2">
      <c r="A61">
        <v>48</v>
      </c>
      <c r="B61" t="s">
        <v>1536</v>
      </c>
    </row>
    <row r="62" spans="1:2">
      <c r="A62">
        <v>48</v>
      </c>
      <c r="B62" t="s">
        <v>1537</v>
      </c>
    </row>
    <row r="63" spans="1:2">
      <c r="A63">
        <v>48</v>
      </c>
      <c r="B63" t="s">
        <v>1538</v>
      </c>
    </row>
    <row r="64" spans="1:2">
      <c r="A64">
        <v>48</v>
      </c>
      <c r="B64" t="s">
        <v>1539</v>
      </c>
    </row>
    <row r="65" spans="1:2">
      <c r="A65">
        <v>48</v>
      </c>
      <c r="B65" t="s">
        <v>1540</v>
      </c>
    </row>
    <row r="66" spans="1:2">
      <c r="A66">
        <v>48</v>
      </c>
      <c r="B66" t="s">
        <v>1541</v>
      </c>
    </row>
    <row r="67" spans="1:2">
      <c r="A67">
        <v>48</v>
      </c>
      <c r="B67" t="s">
        <v>1542</v>
      </c>
    </row>
    <row r="68" spans="1:2">
      <c r="A68">
        <v>48</v>
      </c>
      <c r="B68" t="s">
        <v>1543</v>
      </c>
    </row>
    <row r="69" spans="1:2">
      <c r="A69">
        <v>48</v>
      </c>
      <c r="B69" t="s">
        <v>1544</v>
      </c>
    </row>
    <row r="70" spans="1:2">
      <c r="A70">
        <v>48</v>
      </c>
      <c r="B70" t="s">
        <v>1545</v>
      </c>
    </row>
    <row r="71" spans="1:2">
      <c r="A71">
        <v>48</v>
      </c>
      <c r="B71" t="s">
        <v>1546</v>
      </c>
    </row>
    <row r="72" spans="1:2">
      <c r="A72">
        <v>48</v>
      </c>
      <c r="B72" t="s">
        <v>1547</v>
      </c>
    </row>
    <row r="73" spans="1:2">
      <c r="A73">
        <v>48</v>
      </c>
      <c r="B73" t="s">
        <v>1548</v>
      </c>
    </row>
    <row r="74" spans="1:2">
      <c r="A74">
        <v>48</v>
      </c>
      <c r="B74" t="s">
        <v>1549</v>
      </c>
    </row>
    <row r="75" spans="1:2">
      <c r="A75">
        <v>48</v>
      </c>
      <c r="B75" t="s">
        <v>1550</v>
      </c>
    </row>
    <row r="76" spans="1:2">
      <c r="A76">
        <v>48</v>
      </c>
      <c r="B76" t="s">
        <v>1551</v>
      </c>
    </row>
    <row r="77" spans="1:2">
      <c r="A77">
        <v>48</v>
      </c>
      <c r="B77" t="s">
        <v>1552</v>
      </c>
    </row>
    <row r="78" spans="1:2">
      <c r="A78">
        <v>48</v>
      </c>
      <c r="B78" t="s">
        <v>1553</v>
      </c>
    </row>
    <row r="79" spans="1:2">
      <c r="A79">
        <v>48</v>
      </c>
      <c r="B79" t="s">
        <v>1554</v>
      </c>
    </row>
    <row r="80" spans="1:2">
      <c r="A80">
        <v>48</v>
      </c>
      <c r="B80" t="s">
        <v>1555</v>
      </c>
    </row>
    <row r="81" spans="1:2">
      <c r="A81">
        <v>48</v>
      </c>
      <c r="B81" t="s">
        <v>1556</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9"/>
  <sheetViews>
    <sheetView workbookViewId="0"/>
  </sheetViews>
  <sheetFormatPr baseColWidth="10" defaultColWidth="8.7265625" defaultRowHeight="12.5"/>
  <cols>
    <col min="1" max="1" width="13" customWidth="1"/>
    <col min="2" max="2" width="41" customWidth="1"/>
    <col min="3" max="7" width="13" customWidth="1"/>
  </cols>
  <sheetData>
    <row r="1" spans="1:7">
      <c r="A1" t="s">
        <v>1163</v>
      </c>
      <c r="B1" t="s">
        <v>815</v>
      </c>
      <c r="C1" t="s">
        <v>1557</v>
      </c>
      <c r="D1" t="s">
        <v>1558</v>
      </c>
      <c r="E1" t="s">
        <v>1559</v>
      </c>
      <c r="F1" t="s">
        <v>1560</v>
      </c>
      <c r="G1" t="s">
        <v>1561</v>
      </c>
    </row>
    <row r="2" spans="1:7">
      <c r="A2">
        <v>48</v>
      </c>
      <c r="B2" t="s">
        <v>1562</v>
      </c>
      <c r="C2">
        <v>999999989.32000005</v>
      </c>
      <c r="D2">
        <v>18599905.809999999</v>
      </c>
      <c r="E2">
        <v>8354232.6500000004</v>
      </c>
      <c r="F2">
        <v>26954138.460000001</v>
      </c>
      <c r="G2">
        <v>0.21373086590079371</v>
      </c>
    </row>
    <row r="3" spans="1:7">
      <c r="A3">
        <v>48</v>
      </c>
      <c r="B3" t="s">
        <v>1563</v>
      </c>
      <c r="C3">
        <v>999999873.58000004</v>
      </c>
      <c r="D3">
        <v>12474267.85</v>
      </c>
      <c r="E3">
        <v>6590720.54</v>
      </c>
      <c r="F3">
        <v>19064988.390000001</v>
      </c>
      <c r="G3">
        <v>0.15442086438144476</v>
      </c>
    </row>
    <row r="4" spans="1:7">
      <c r="A4">
        <v>48</v>
      </c>
      <c r="B4" t="s">
        <v>1564</v>
      </c>
      <c r="C4">
        <v>999999923.61000001</v>
      </c>
      <c r="D4">
        <v>14451258.529999999</v>
      </c>
      <c r="E4">
        <v>13371917.4</v>
      </c>
      <c r="F4">
        <v>27823175.93</v>
      </c>
      <c r="G4">
        <v>0.24747336804376674</v>
      </c>
    </row>
    <row r="5" spans="1:7">
      <c r="A5">
        <v>48</v>
      </c>
      <c r="B5" t="s">
        <v>1565</v>
      </c>
      <c r="C5">
        <v>999999964.76999998</v>
      </c>
      <c r="D5">
        <v>12325298.029999999</v>
      </c>
      <c r="E5">
        <v>10685591.130000001</v>
      </c>
      <c r="F5">
        <v>23010889.16</v>
      </c>
      <c r="G5">
        <v>0.20942725796969186</v>
      </c>
    </row>
    <row r="6" spans="1:7">
      <c r="A6">
        <v>48</v>
      </c>
      <c r="B6" t="s">
        <v>1566</v>
      </c>
      <c r="C6">
        <v>999999957.50999999</v>
      </c>
      <c r="D6">
        <v>13111522.729999995</v>
      </c>
      <c r="E6">
        <v>11336365.060000004</v>
      </c>
      <c r="F6">
        <v>24447887.789999999</v>
      </c>
      <c r="G6">
        <v>0.127866999411129</v>
      </c>
    </row>
    <row r="7" spans="1:7">
      <c r="A7">
        <v>48</v>
      </c>
      <c r="B7" t="s">
        <v>1567</v>
      </c>
      <c r="C7">
        <v>999999996.48000002</v>
      </c>
      <c r="D7">
        <v>13479285.240000021</v>
      </c>
      <c r="E7">
        <v>13510756.109999981</v>
      </c>
      <c r="F7">
        <v>26990041.350000001</v>
      </c>
      <c r="G7">
        <v>0.15060783319675752</v>
      </c>
    </row>
    <row r="8" spans="1:7">
      <c r="A8">
        <v>48</v>
      </c>
      <c r="B8" t="s">
        <v>1568</v>
      </c>
      <c r="C8">
        <v>999999978.38</v>
      </c>
      <c r="D8">
        <v>13208670.17</v>
      </c>
      <c r="E8">
        <v>12096947.549999999</v>
      </c>
      <c r="F8">
        <v>25305617.719999999</v>
      </c>
      <c r="G8">
        <v>0.13588423887578238</v>
      </c>
    </row>
    <row r="9" spans="1:7">
      <c r="A9">
        <v>48</v>
      </c>
      <c r="B9" t="s">
        <v>1569</v>
      </c>
      <c r="C9">
        <v>971524220.40999997</v>
      </c>
      <c r="D9">
        <v>12484154.009999977</v>
      </c>
      <c r="E9">
        <v>13220665.480000021</v>
      </c>
      <c r="F9">
        <v>25704819.489999998</v>
      </c>
      <c r="G9">
        <v>0.15161378258951164</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workbookViewId="0"/>
  </sheetViews>
  <sheetFormatPr baseColWidth="10" defaultColWidth="8.7265625" defaultRowHeight="12.5"/>
  <cols>
    <col min="1" max="1" width="13" customWidth="1"/>
    <col min="2" max="2" width="36"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1570</v>
      </c>
      <c r="B1" t="s">
        <v>1571</v>
      </c>
      <c r="C1" t="s">
        <v>1572</v>
      </c>
      <c r="D1" t="s">
        <v>257</v>
      </c>
      <c r="E1" t="s">
        <v>1573</v>
      </c>
      <c r="F1" t="s">
        <v>387</v>
      </c>
      <c r="G1" t="s">
        <v>237</v>
      </c>
      <c r="H1" t="s">
        <v>1574</v>
      </c>
      <c r="I1" t="s">
        <v>385</v>
      </c>
      <c r="J1" t="s">
        <v>1575</v>
      </c>
      <c r="K1" t="s">
        <v>386</v>
      </c>
      <c r="L1" t="s">
        <v>388</v>
      </c>
      <c r="M1" t="s">
        <v>1576</v>
      </c>
      <c r="N1" t="s">
        <v>1577</v>
      </c>
      <c r="O1" t="s">
        <v>1578</v>
      </c>
      <c r="P1" t="s">
        <v>1579</v>
      </c>
      <c r="Q1" t="s">
        <v>1580</v>
      </c>
      <c r="R1" t="s">
        <v>1581</v>
      </c>
      <c r="S1" t="s">
        <v>1582</v>
      </c>
    </row>
    <row r="2" spans="1:19">
      <c r="A2">
        <v>48</v>
      </c>
      <c r="B2" t="s">
        <v>104</v>
      </c>
      <c r="C2" t="s">
        <v>1583</v>
      </c>
      <c r="D2" t="s">
        <v>1584</v>
      </c>
      <c r="E2" t="s">
        <v>1585</v>
      </c>
      <c r="F2" t="s">
        <v>1586</v>
      </c>
      <c r="G2" t="s">
        <v>1587</v>
      </c>
      <c r="H2" t="s">
        <v>809</v>
      </c>
      <c r="I2" t="s">
        <v>809</v>
      </c>
      <c r="J2" t="s">
        <v>810</v>
      </c>
      <c r="K2" t="s">
        <v>810</v>
      </c>
      <c r="L2" t="s">
        <v>1588</v>
      </c>
      <c r="M2" t="s">
        <v>1589</v>
      </c>
      <c r="N2" t="s">
        <v>1590</v>
      </c>
      <c r="O2" t="s">
        <v>1590</v>
      </c>
      <c r="P2" t="s">
        <v>1591</v>
      </c>
      <c r="Q2" t="s">
        <v>1588</v>
      </c>
      <c r="R2" t="s">
        <v>1172</v>
      </c>
      <c r="S2" t="s">
        <v>1172</v>
      </c>
    </row>
    <row r="3" spans="1:19">
      <c r="A3">
        <v>48</v>
      </c>
      <c r="B3" t="s">
        <v>783</v>
      </c>
      <c r="C3" t="s">
        <v>35</v>
      </c>
      <c r="D3" t="s">
        <v>35</v>
      </c>
      <c r="E3" t="s">
        <v>35</v>
      </c>
      <c r="F3" t="s">
        <v>35</v>
      </c>
      <c r="G3" t="s">
        <v>35</v>
      </c>
      <c r="H3" t="s">
        <v>35</v>
      </c>
      <c r="I3" t="s">
        <v>1592</v>
      </c>
      <c r="J3" t="s">
        <v>35</v>
      </c>
      <c r="K3" t="s">
        <v>1593</v>
      </c>
      <c r="L3" t="s">
        <v>1588</v>
      </c>
      <c r="M3" t="s">
        <v>35</v>
      </c>
      <c r="N3" t="s">
        <v>35</v>
      </c>
      <c r="O3" t="s">
        <v>35</v>
      </c>
      <c r="P3" t="s">
        <v>35</v>
      </c>
      <c r="Q3" t="s">
        <v>35</v>
      </c>
      <c r="R3" t="s">
        <v>1172</v>
      </c>
      <c r="S3" t="s">
        <v>1172</v>
      </c>
    </row>
    <row r="4" spans="1:19">
      <c r="A4">
        <v>48</v>
      </c>
      <c r="B4" t="s">
        <v>251</v>
      </c>
      <c r="C4" t="s">
        <v>35</v>
      </c>
      <c r="D4" t="s">
        <v>35</v>
      </c>
      <c r="E4" t="s">
        <v>35</v>
      </c>
      <c r="F4" t="s">
        <v>35</v>
      </c>
      <c r="G4" t="s">
        <v>35</v>
      </c>
      <c r="H4" t="s">
        <v>35</v>
      </c>
      <c r="I4" t="s">
        <v>35</v>
      </c>
      <c r="J4" t="s">
        <v>35</v>
      </c>
      <c r="K4" t="s">
        <v>35</v>
      </c>
      <c r="L4" t="s">
        <v>35</v>
      </c>
      <c r="M4" t="s">
        <v>35</v>
      </c>
      <c r="N4" t="s">
        <v>35</v>
      </c>
      <c r="O4" t="s">
        <v>35</v>
      </c>
      <c r="P4" t="s">
        <v>35</v>
      </c>
      <c r="Q4" t="s">
        <v>35</v>
      </c>
      <c r="R4" t="s">
        <v>1172</v>
      </c>
      <c r="S4" t="s">
        <v>1172</v>
      </c>
    </row>
    <row r="5" spans="1:19">
      <c r="A5">
        <v>48</v>
      </c>
      <c r="B5" t="s">
        <v>758</v>
      </c>
      <c r="C5" t="s">
        <v>35</v>
      </c>
      <c r="D5" t="s">
        <v>35</v>
      </c>
      <c r="E5" t="s">
        <v>35</v>
      </c>
      <c r="F5" t="s">
        <v>35</v>
      </c>
      <c r="G5" t="s">
        <v>35</v>
      </c>
      <c r="H5" t="s">
        <v>35</v>
      </c>
      <c r="I5" t="s">
        <v>35</v>
      </c>
      <c r="J5" t="s">
        <v>35</v>
      </c>
      <c r="K5" t="s">
        <v>35</v>
      </c>
      <c r="L5" t="s">
        <v>35</v>
      </c>
      <c r="M5" t="s">
        <v>35</v>
      </c>
      <c r="N5" t="s">
        <v>35</v>
      </c>
      <c r="O5" t="s">
        <v>35</v>
      </c>
      <c r="P5" t="s">
        <v>35</v>
      </c>
      <c r="Q5" t="s">
        <v>35</v>
      </c>
      <c r="R5" t="s">
        <v>1172</v>
      </c>
      <c r="S5" t="s">
        <v>1172</v>
      </c>
    </row>
    <row r="6" spans="1:19">
      <c r="A6">
        <v>48</v>
      </c>
      <c r="B6" t="s">
        <v>727</v>
      </c>
      <c r="C6" t="s">
        <v>1594</v>
      </c>
      <c r="D6" t="s">
        <v>35</v>
      </c>
      <c r="E6" t="s">
        <v>1595</v>
      </c>
      <c r="F6" t="s">
        <v>1586</v>
      </c>
      <c r="G6" t="s">
        <v>1588</v>
      </c>
      <c r="H6" t="s">
        <v>35</v>
      </c>
      <c r="I6" t="s">
        <v>1596</v>
      </c>
      <c r="J6" t="s">
        <v>35</v>
      </c>
      <c r="K6" t="s">
        <v>810</v>
      </c>
      <c r="L6" t="s">
        <v>1588</v>
      </c>
      <c r="M6" t="s">
        <v>35</v>
      </c>
      <c r="N6" t="s">
        <v>1597</v>
      </c>
      <c r="O6" t="s">
        <v>1597</v>
      </c>
      <c r="P6" t="s">
        <v>1591</v>
      </c>
      <c r="Q6" t="s">
        <v>1588</v>
      </c>
      <c r="R6" t="s">
        <v>1172</v>
      </c>
      <c r="S6" t="s">
        <v>1172</v>
      </c>
    </row>
    <row r="7" spans="1:19">
      <c r="A7">
        <v>48</v>
      </c>
      <c r="B7" t="s">
        <v>726</v>
      </c>
      <c r="C7" t="s">
        <v>1594</v>
      </c>
      <c r="D7" t="s">
        <v>1598</v>
      </c>
      <c r="E7" t="s">
        <v>1595</v>
      </c>
      <c r="F7" t="s">
        <v>1586</v>
      </c>
      <c r="G7" t="s">
        <v>1588</v>
      </c>
      <c r="H7" t="s">
        <v>35</v>
      </c>
      <c r="I7" t="s">
        <v>35</v>
      </c>
      <c r="J7" t="s">
        <v>35</v>
      </c>
      <c r="K7" t="s">
        <v>35</v>
      </c>
      <c r="L7" t="s">
        <v>35</v>
      </c>
      <c r="M7" t="s">
        <v>35</v>
      </c>
      <c r="N7" t="s">
        <v>35</v>
      </c>
      <c r="O7" t="s">
        <v>35</v>
      </c>
      <c r="P7" t="s">
        <v>35</v>
      </c>
      <c r="Q7" t="s">
        <v>35</v>
      </c>
      <c r="R7" t="s">
        <v>1172</v>
      </c>
      <c r="S7" t="s">
        <v>1172</v>
      </c>
    </row>
    <row r="8" spans="1:19">
      <c r="A8">
        <v>48</v>
      </c>
      <c r="B8" t="s">
        <v>786</v>
      </c>
      <c r="C8" t="s">
        <v>1594</v>
      </c>
      <c r="D8" t="s">
        <v>1599</v>
      </c>
      <c r="E8" t="s">
        <v>1595</v>
      </c>
      <c r="F8" t="s">
        <v>1586</v>
      </c>
      <c r="G8" t="s">
        <v>1588</v>
      </c>
      <c r="H8" t="s">
        <v>1600</v>
      </c>
      <c r="I8" t="s">
        <v>1600</v>
      </c>
      <c r="J8" t="s">
        <v>1593</v>
      </c>
      <c r="K8" t="s">
        <v>1593</v>
      </c>
      <c r="L8" t="s">
        <v>1588</v>
      </c>
      <c r="M8" t="s">
        <v>1601</v>
      </c>
      <c r="N8" t="s">
        <v>35</v>
      </c>
      <c r="O8" t="s">
        <v>35</v>
      </c>
      <c r="P8" t="s">
        <v>35</v>
      </c>
      <c r="Q8" t="s">
        <v>35</v>
      </c>
      <c r="R8" t="s">
        <v>1172</v>
      </c>
      <c r="S8" t="s">
        <v>1172</v>
      </c>
    </row>
    <row r="9" spans="1:19">
      <c r="A9">
        <v>48</v>
      </c>
      <c r="B9" t="s">
        <v>391</v>
      </c>
      <c r="C9" t="s">
        <v>35</v>
      </c>
      <c r="D9" t="s">
        <v>35</v>
      </c>
      <c r="E9" t="s">
        <v>35</v>
      </c>
      <c r="F9" t="s">
        <v>35</v>
      </c>
      <c r="G9" t="s">
        <v>35</v>
      </c>
      <c r="H9" t="s">
        <v>35</v>
      </c>
      <c r="I9" t="s">
        <v>35</v>
      </c>
      <c r="J9" t="s">
        <v>35</v>
      </c>
      <c r="K9" t="s">
        <v>35</v>
      </c>
      <c r="L9" t="s">
        <v>35</v>
      </c>
      <c r="M9" t="s">
        <v>35</v>
      </c>
      <c r="N9" t="s">
        <v>35</v>
      </c>
      <c r="O9" t="s">
        <v>35</v>
      </c>
      <c r="P9" t="s">
        <v>35</v>
      </c>
      <c r="Q9" t="s">
        <v>35</v>
      </c>
      <c r="R9" t="s">
        <v>1172</v>
      </c>
      <c r="S9" t="s">
        <v>1172</v>
      </c>
    </row>
    <row r="10" spans="1:19">
      <c r="A10">
        <v>48</v>
      </c>
      <c r="B10" t="s">
        <v>789</v>
      </c>
      <c r="C10" t="s">
        <v>35</v>
      </c>
      <c r="D10" t="s">
        <v>35</v>
      </c>
      <c r="E10" t="s">
        <v>35</v>
      </c>
      <c r="F10" t="s">
        <v>35</v>
      </c>
      <c r="G10" t="s">
        <v>35</v>
      </c>
      <c r="H10" t="s">
        <v>35</v>
      </c>
      <c r="I10" t="s">
        <v>35</v>
      </c>
      <c r="J10" t="s">
        <v>35</v>
      </c>
      <c r="K10" t="s">
        <v>35</v>
      </c>
      <c r="L10" t="s">
        <v>35</v>
      </c>
      <c r="M10" t="s">
        <v>35</v>
      </c>
      <c r="N10" t="s">
        <v>35</v>
      </c>
      <c r="O10" t="s">
        <v>35</v>
      </c>
      <c r="P10" t="s">
        <v>35</v>
      </c>
      <c r="Q10" t="s">
        <v>35</v>
      </c>
      <c r="R10" t="s">
        <v>1172</v>
      </c>
      <c r="S10" t="s">
        <v>1172</v>
      </c>
    </row>
    <row r="11" spans="1:19">
      <c r="A11">
        <v>48</v>
      </c>
      <c r="B11" t="s">
        <v>1602</v>
      </c>
      <c r="C11" t="s">
        <v>1603</v>
      </c>
      <c r="D11" t="s">
        <v>1604</v>
      </c>
      <c r="E11" t="s">
        <v>1605</v>
      </c>
      <c r="F11" t="s">
        <v>1606</v>
      </c>
      <c r="G11" t="s">
        <v>1607</v>
      </c>
      <c r="H11" t="s">
        <v>1608</v>
      </c>
      <c r="I11" t="s">
        <v>1609</v>
      </c>
      <c r="J11" t="s">
        <v>1610</v>
      </c>
      <c r="K11" t="s">
        <v>1611</v>
      </c>
      <c r="L11" t="s">
        <v>1612</v>
      </c>
      <c r="M11" t="s">
        <v>1613</v>
      </c>
      <c r="N11" t="s">
        <v>1614</v>
      </c>
      <c r="O11" t="s">
        <v>1615</v>
      </c>
      <c r="P11" t="s">
        <v>1616</v>
      </c>
      <c r="Q11" t="s">
        <v>1617</v>
      </c>
      <c r="R11" t="s">
        <v>1618</v>
      </c>
      <c r="S11" t="s">
        <v>1172</v>
      </c>
    </row>
    <row r="12" spans="1:19">
      <c r="A12">
        <v>48</v>
      </c>
      <c r="B12" t="s">
        <v>194</v>
      </c>
      <c r="C12" t="s">
        <v>1619</v>
      </c>
      <c r="D12" t="s">
        <v>1599</v>
      </c>
      <c r="E12" t="s">
        <v>1595</v>
      </c>
      <c r="F12" t="s">
        <v>35</v>
      </c>
      <c r="G12" t="s">
        <v>1588</v>
      </c>
      <c r="H12" t="s">
        <v>35</v>
      </c>
      <c r="I12" t="s">
        <v>809</v>
      </c>
      <c r="J12" t="s">
        <v>810</v>
      </c>
      <c r="K12" t="s">
        <v>810</v>
      </c>
      <c r="L12" t="s">
        <v>1588</v>
      </c>
      <c r="M12" t="s">
        <v>1589</v>
      </c>
      <c r="N12" t="s">
        <v>35</v>
      </c>
      <c r="O12" t="s">
        <v>35</v>
      </c>
      <c r="P12" t="s">
        <v>35</v>
      </c>
      <c r="Q12" t="s">
        <v>35</v>
      </c>
      <c r="R12" t="s">
        <v>1172</v>
      </c>
      <c r="S12" t="s">
        <v>1172</v>
      </c>
    </row>
    <row r="13" spans="1:19">
      <c r="A13">
        <v>48</v>
      </c>
      <c r="B13" t="s">
        <v>110</v>
      </c>
      <c r="C13" t="s">
        <v>1583</v>
      </c>
      <c r="D13" t="s">
        <v>1584</v>
      </c>
      <c r="E13" t="s">
        <v>1585</v>
      </c>
      <c r="F13" t="s">
        <v>1586</v>
      </c>
      <c r="G13" t="s">
        <v>1587</v>
      </c>
      <c r="H13" t="s">
        <v>1596</v>
      </c>
      <c r="I13" t="s">
        <v>809</v>
      </c>
      <c r="J13" t="s">
        <v>810</v>
      </c>
      <c r="K13" t="s">
        <v>810</v>
      </c>
      <c r="L13" t="s">
        <v>1588</v>
      </c>
      <c r="M13" t="s">
        <v>35</v>
      </c>
      <c r="N13" t="s">
        <v>35</v>
      </c>
      <c r="O13" t="s">
        <v>35</v>
      </c>
      <c r="P13" t="s">
        <v>35</v>
      </c>
      <c r="Q13" t="s">
        <v>35</v>
      </c>
      <c r="R13" t="s">
        <v>1172</v>
      </c>
      <c r="S13" t="s">
        <v>1172</v>
      </c>
    </row>
    <row r="14" spans="1:19">
      <c r="A14">
        <v>48</v>
      </c>
      <c r="B14" t="s">
        <v>763</v>
      </c>
      <c r="C14" t="s">
        <v>1172</v>
      </c>
      <c r="D14" t="s">
        <v>1172</v>
      </c>
      <c r="E14" t="s">
        <v>1172</v>
      </c>
      <c r="F14" t="s">
        <v>1172</v>
      </c>
      <c r="G14" t="s">
        <v>1172</v>
      </c>
      <c r="H14" t="s">
        <v>1172</v>
      </c>
      <c r="I14" t="s">
        <v>1172</v>
      </c>
      <c r="J14" t="s">
        <v>1172</v>
      </c>
      <c r="K14" t="s">
        <v>1172</v>
      </c>
      <c r="L14" t="s">
        <v>1172</v>
      </c>
      <c r="M14" t="s">
        <v>1172</v>
      </c>
      <c r="N14" t="s">
        <v>1172</v>
      </c>
      <c r="O14" t="s">
        <v>1172</v>
      </c>
      <c r="P14" t="s">
        <v>1172</v>
      </c>
      <c r="Q14" t="s">
        <v>1172</v>
      </c>
      <c r="R14" t="s">
        <v>1172</v>
      </c>
      <c r="S14" t="s">
        <v>1620</v>
      </c>
    </row>
    <row r="15" spans="1:19">
      <c r="A15">
        <v>48</v>
      </c>
      <c r="B15" t="s">
        <v>764</v>
      </c>
      <c r="C15" t="s">
        <v>1172</v>
      </c>
      <c r="D15" t="s">
        <v>1172</v>
      </c>
      <c r="E15" t="s">
        <v>1172</v>
      </c>
      <c r="F15" t="s">
        <v>1172</v>
      </c>
      <c r="G15" t="s">
        <v>1172</v>
      </c>
      <c r="H15" t="s">
        <v>1172</v>
      </c>
      <c r="I15" t="s">
        <v>1172</v>
      </c>
      <c r="J15" t="s">
        <v>1172</v>
      </c>
      <c r="K15" t="s">
        <v>1172</v>
      </c>
      <c r="L15" t="s">
        <v>1172</v>
      </c>
      <c r="M15" t="s">
        <v>1172</v>
      </c>
      <c r="N15" t="s">
        <v>1172</v>
      </c>
      <c r="O15" t="s">
        <v>1172</v>
      </c>
      <c r="P15" t="s">
        <v>1172</v>
      </c>
      <c r="Q15" t="s">
        <v>1172</v>
      </c>
      <c r="R15" t="s">
        <v>1172</v>
      </c>
      <c r="S15" t="s">
        <v>1621</v>
      </c>
    </row>
    <row r="16" spans="1:19">
      <c r="A16">
        <v>48</v>
      </c>
      <c r="B16" t="s">
        <v>765</v>
      </c>
      <c r="C16" t="s">
        <v>1172</v>
      </c>
      <c r="D16" t="s">
        <v>1172</v>
      </c>
      <c r="E16" t="s">
        <v>1172</v>
      </c>
      <c r="F16" t="s">
        <v>1172</v>
      </c>
      <c r="G16" t="s">
        <v>1172</v>
      </c>
      <c r="H16" t="s">
        <v>1172</v>
      </c>
      <c r="I16" t="s">
        <v>1172</v>
      </c>
      <c r="J16" t="s">
        <v>1172</v>
      </c>
      <c r="K16" t="s">
        <v>1172</v>
      </c>
      <c r="L16" t="s">
        <v>1172</v>
      </c>
      <c r="M16" t="s">
        <v>1172</v>
      </c>
      <c r="N16" t="s">
        <v>1172</v>
      </c>
      <c r="O16" t="s">
        <v>1172</v>
      </c>
      <c r="P16" t="s">
        <v>1172</v>
      </c>
      <c r="Q16" t="s">
        <v>1172</v>
      </c>
      <c r="R16" t="s">
        <v>1172</v>
      </c>
      <c r="S16" t="s">
        <v>1622</v>
      </c>
    </row>
    <row r="17" spans="1:19">
      <c r="A17">
        <v>48</v>
      </c>
      <c r="B17" t="s">
        <v>766</v>
      </c>
      <c r="C17" t="s">
        <v>1172</v>
      </c>
      <c r="D17" t="s">
        <v>1172</v>
      </c>
      <c r="E17" t="s">
        <v>1172</v>
      </c>
      <c r="F17" t="s">
        <v>1172</v>
      </c>
      <c r="G17" t="s">
        <v>1172</v>
      </c>
      <c r="H17" t="s">
        <v>1172</v>
      </c>
      <c r="I17" t="s">
        <v>1172</v>
      </c>
      <c r="J17" t="s">
        <v>1172</v>
      </c>
      <c r="K17" t="s">
        <v>1172</v>
      </c>
      <c r="L17" t="s">
        <v>1172</v>
      </c>
      <c r="M17" t="s">
        <v>1172</v>
      </c>
      <c r="N17" t="s">
        <v>1172</v>
      </c>
      <c r="O17" t="s">
        <v>1172</v>
      </c>
      <c r="P17" t="s">
        <v>1172</v>
      </c>
      <c r="Q17" t="s">
        <v>1172</v>
      </c>
      <c r="R17" t="s">
        <v>1172</v>
      </c>
      <c r="S17" t="s">
        <v>1623</v>
      </c>
    </row>
    <row r="18" spans="1:19">
      <c r="A18">
        <v>48</v>
      </c>
      <c r="B18" t="s">
        <v>767</v>
      </c>
      <c r="C18" t="s">
        <v>1172</v>
      </c>
      <c r="D18" t="s">
        <v>1172</v>
      </c>
      <c r="E18" t="s">
        <v>1172</v>
      </c>
      <c r="F18" t="s">
        <v>1172</v>
      </c>
      <c r="G18" t="s">
        <v>1172</v>
      </c>
      <c r="H18" t="s">
        <v>1172</v>
      </c>
      <c r="I18" t="s">
        <v>1172</v>
      </c>
      <c r="J18" t="s">
        <v>1172</v>
      </c>
      <c r="K18" t="s">
        <v>1172</v>
      </c>
      <c r="L18" t="s">
        <v>1172</v>
      </c>
      <c r="M18" t="s">
        <v>1172</v>
      </c>
      <c r="N18" t="s">
        <v>1172</v>
      </c>
      <c r="O18" t="s">
        <v>1172</v>
      </c>
      <c r="P18" t="s">
        <v>1172</v>
      </c>
      <c r="Q18" t="s">
        <v>1172</v>
      </c>
      <c r="R18" t="s">
        <v>1172</v>
      </c>
      <c r="S18" t="s">
        <v>1624</v>
      </c>
    </row>
    <row r="19" spans="1:19">
      <c r="A19">
        <v>48</v>
      </c>
      <c r="B19" t="s">
        <v>768</v>
      </c>
      <c r="C19" t="s">
        <v>1172</v>
      </c>
      <c r="D19" t="s">
        <v>1172</v>
      </c>
      <c r="E19" t="s">
        <v>1172</v>
      </c>
      <c r="F19" t="s">
        <v>1172</v>
      </c>
      <c r="G19" t="s">
        <v>1172</v>
      </c>
      <c r="H19" t="s">
        <v>1172</v>
      </c>
      <c r="I19" t="s">
        <v>1172</v>
      </c>
      <c r="J19" t="s">
        <v>1172</v>
      </c>
      <c r="K19" t="s">
        <v>1172</v>
      </c>
      <c r="L19" t="s">
        <v>1172</v>
      </c>
      <c r="M19" t="s">
        <v>1172</v>
      </c>
      <c r="N19" t="s">
        <v>1172</v>
      </c>
      <c r="O19" t="s">
        <v>1172</v>
      </c>
      <c r="P19" t="s">
        <v>1172</v>
      </c>
      <c r="Q19" t="s">
        <v>1172</v>
      </c>
      <c r="R19" t="s">
        <v>1172</v>
      </c>
      <c r="S19" t="s">
        <v>1625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2025-02-25T10:45:01Z</dcterms:created>
  <dcterms:modified xsi:type="dcterms:W3CDTF">2025-07-09T13:20:43Z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2025-04-07T13:00:14Z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f6c09b1f-c0dc-48d3-bf7b-d28598f63ae3</vt:lpwstr>
  </property>
  <property fmtid="{D5CDD505-2E9C-101B-9397-08002B2CF9AE}" pid="8" name="MSIP_Label_41b88ec2-a72b-4523-9e84-0458a1764731_ContentBits">
    <vt:lpwstr>0</vt:lpwstr>
  </property>
</Properties>
</file>